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570" windowWidth="28455" windowHeight="11955" tabRatio="870"/>
  </bookViews>
  <sheets>
    <sheet name="ТЭ+Теплоноситель 1" sheetId="3" r:id="rId1"/>
    <sheet name="ТЭ+Теплоноситель 2" sheetId="92" r:id="rId2"/>
    <sheet name="Перечень тарифов" sheetId="5" state="hidden" r:id="rId3"/>
    <sheet name="Дифференциация тариф показатель" sheetId="6" state="hidden" r:id="rId4"/>
    <sheet name="Общая информация об организации" sheetId="7" state="hidden" r:id="rId5"/>
    <sheet name="Общая информация по ВД" sheetId="8" state="hidden" r:id="rId6"/>
    <sheet name="Виды объектов" sheetId="9" state="hidden" r:id="rId7"/>
    <sheet name="Сведения по территориям" sheetId="10" state="hidden" r:id="rId8"/>
    <sheet name="ТС. Т-ТЭ | &gt;=25МВт" sheetId="11" state="hidden" r:id="rId9"/>
    <sheet name="ТС. Т-ТЭ | ТСО" sheetId="12" state="hidden" r:id="rId10"/>
    <sheet name="ТС. Резерв мощности" sheetId="13" state="hidden" r:id="rId11"/>
    <sheet name="ТС. Т-ТН" sheetId="14" state="hidden" r:id="rId12"/>
    <sheet name="ТС. Т-передача ТЭ" sheetId="15" state="hidden" r:id="rId13"/>
    <sheet name="ТС. Т-передача ТН" sheetId="16" state="hidden" r:id="rId14"/>
    <sheet name="ТС. Т-гор.вода" sheetId="17" state="hidden" r:id="rId15"/>
    <sheet name="ТС. Т-подкл" sheetId="18" state="hidden" r:id="rId16"/>
    <sheet name="ХВС. Т-пит" sheetId="19" state="hidden" r:id="rId17"/>
    <sheet name="ХВС. Т-тех" sheetId="20" state="hidden" r:id="rId18"/>
    <sheet name="ХВС. Т-транс" sheetId="21" state="hidden" r:id="rId19"/>
    <sheet name="ХВС. Т-подвоз" sheetId="22" state="hidden" r:id="rId20"/>
    <sheet name="ХВС. Т-подкл" sheetId="23" state="hidden" r:id="rId21"/>
    <sheet name="ВО. Т-во" sheetId="24" state="hidden" r:id="rId22"/>
    <sheet name="ВО. Т-транс" sheetId="25" state="hidden" r:id="rId23"/>
    <sheet name="ВО. Т-подкл" sheetId="26" state="hidden" r:id="rId24"/>
    <sheet name="ГВС. Т-гор.вода" sheetId="27" state="hidden" r:id="rId25"/>
    <sheet name="ГВС. Т-транс" sheetId="28" state="hidden" r:id="rId26"/>
    <sheet name="ГВС. Т-подкл" sheetId="29" state="hidden" r:id="rId27"/>
    <sheet name="Показатели ФХД" sheetId="30" state="hidden" r:id="rId28"/>
    <sheet name="Показатели ФХД &gt;20%" sheetId="31" state="hidden" r:id="rId29"/>
    <sheet name="ТКО. Показатели ФХД" sheetId="32" state="hidden" r:id="rId30"/>
    <sheet name="ТКО. Транс. Показатели ФХД" sheetId="33" state="hidden" r:id="rId31"/>
    <sheet name="Показатели КНЭ" sheetId="34" state="hidden" r:id="rId32"/>
    <sheet name="ИП" sheetId="36" state="hidden" r:id="rId33"/>
    <sheet name="ИП. Детализация" sheetId="37" state="hidden" r:id="rId34"/>
    <sheet name="ИП. Финансовый план" sheetId="38" state="hidden" r:id="rId35"/>
    <sheet name="ИП. КНЭ" sheetId="39" state="hidden" r:id="rId36"/>
    <sheet name="ТЭ+Теплоноситель 3" sheetId="93" r:id="rId37"/>
    <sheet name="ТЭ+Теплоноситель 4" sheetId="94" r:id="rId38"/>
    <sheet name="ГВС 1" sheetId="87" r:id="rId39"/>
    <sheet name="ГВС 2" sheetId="90" r:id="rId40"/>
    <sheet name="ГВС 3" sheetId="91"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externalReferences>
    <externalReference r:id="rId87"/>
    <externalReference r:id="rId88"/>
    <externalReference r:id="rId89"/>
  </externalReference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66">'Показатели ФХД'!$J$25:$J$27</definedName>
    <definedName name="B_FHD_FLAG_DIFFERENTIATION" localSheetId="38">'[1]Показатели ФХД'!$H$24:$J$24</definedName>
    <definedName name="B_FHD_FLAG_DIFFERENTIATION" localSheetId="39">'[2]Показатели ФХД'!$H$24:$J$24</definedName>
    <definedName name="B_FHD_FLAG_DIFFERENTIATION" localSheetId="40">'[2]Показатели ФХД'!$H$24:$J$24</definedName>
    <definedName name="B_FHD_FLAG_DIFFERENTIATION" localSheetId="1">'[3]Показатели ФХД'!$H$24:$K$24</definedName>
    <definedName name="B_FHD_FLAG_DIFFERENTIATION" localSheetId="36">'[3]Показатели ФХД'!$H$24:$K$24</definedName>
    <definedName name="B_FHD_FLAG_DIFFERENTIATION" localSheetId="37">'[3]Показатели ФХД'!$H$24:$K$24</definedName>
    <definedName name="B_FHD_FLAG_DIFFERENTIATION">'Показатели ФХД'!$H$24:$K$24</definedName>
    <definedName name="B_FHD_FLAG_INDEX_1" localSheetId="38">'[1]Показатели ФХД'!$H$66:$J$66</definedName>
    <definedName name="B_FHD_FLAG_INDEX_1" localSheetId="39">'[2]Показатели ФХД'!$H$66:$J$66</definedName>
    <definedName name="B_FHD_FLAG_INDEX_1" localSheetId="40">'[2]Показатели ФХД'!$H$66:$J$66</definedName>
    <definedName name="B_FHD_FLAG_INDEX_1" localSheetId="1">'[3]Показатели ФХД'!$H$66:$K$66</definedName>
    <definedName name="B_FHD_FLAG_INDEX_1" localSheetId="36">'[3]Показатели ФХД'!$H$66:$K$66</definedName>
    <definedName name="B_FHD_FLAG_INDEX_1" localSheetId="37">'[3]Показатели ФХД'!$H$66:$K$66</definedName>
    <definedName name="B_FHD_FLAG_INDEX_1">'Показатели ФХД'!$H$66:$K$66</definedName>
    <definedName name="B_FHD_FLAG_INDEX_2" localSheetId="38">'[1]Показатели ФХД'!$H$68:$J$68</definedName>
    <definedName name="B_FHD_FLAG_INDEX_2" localSheetId="39">'[2]Показатели ФХД'!$H$68:$J$68</definedName>
    <definedName name="B_FHD_FLAG_INDEX_2" localSheetId="40">'[2]Показатели ФХД'!$H$68:$J$68</definedName>
    <definedName name="B_FHD_FLAG_INDEX_2" localSheetId="1">'[3]Показатели ФХД'!$H$68:$K$68</definedName>
    <definedName name="B_FHD_FLAG_INDEX_2" localSheetId="36">'[3]Показатели ФХД'!$H$68:$K$68</definedName>
    <definedName name="B_FHD_FLAG_INDEX_2" localSheetId="37">'[3]Показатели ФХД'!$H$68:$K$68</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LOCK_BALANCE_INDICATORS">#REF!</definedName>
    <definedName name="BLOCK_BALANCE_TKO_FLAG_TRANS">#REF!</definedName>
    <definedName name="BLOCK_CONNECTION_STATE">#REF!</definedName>
    <definedName name="BLOCK_DIFF_CS">#REF!</definedName>
    <definedName name="BLOCK_DIFFERENTIATION_NOT_TKO" localSheetId="39">'ГВС 2'!$J:$M</definedName>
    <definedName name="BLOCK_DIFFERENTIATION_NOT_TKO" localSheetId="1">'ТЭ+Теплоноситель 2'!$J:$M</definedName>
    <definedName name="BLOCK_DIFFERENTIATION_NOT_TKO">#REF!</definedName>
    <definedName name="BLOCK_FIRST_TARIFF">#REF!</definedName>
    <definedName name="BLOCK_FIRST_TARIFF_OREG_PUBL">#REF!</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#REF!</definedName>
    <definedName name="BLOCK_PERIOD_QUARTER">#REF!</definedName>
    <definedName name="BLOCK_PERIOD_TWO_DATA">#REF!</definedName>
    <definedName name="BLOCK_PERIOD_YEAR">#REF!</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#REF!</definedName>
    <definedName name="BLOCK_PRICE_IST_TE">'Перечень тарифов'!$S:$V</definedName>
    <definedName name="BLOCK_PRICE_REQUEST">#REF!</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#REF!</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 localSheetId="38">'ГВС 1'!$7:$7</definedName>
    <definedName name="BLOCK_TERRITORY_INFO">'ТЭ+Теплоноситель 1'!$7:$7</definedName>
    <definedName name="BLOCK_TITLE_ROIV_INFO">#REF!</definedName>
    <definedName name="BLOCK_WARM_ORG_TYPE">#REF!</definedName>
    <definedName name="checkCell_List01" localSheetId="38">'ГВС 1'!$E$15:$I$15</definedName>
    <definedName name="checkCell_List01">'ТЭ+Теплоноситель 1'!$E$15:$I$15</definedName>
    <definedName name="checkCell_List07">'Сведения об изменении'!$D$11:$E$13</definedName>
    <definedName name="CLASS_TKO_LIST">TEHSHEET!$AZ$90:$AZ$94</definedName>
    <definedName name="code" localSheetId="39">[2]Инструкция!$B$2</definedName>
    <definedName name="code" localSheetId="40">[2]Инструкция!$B$2</definedName>
    <definedName name="code" localSheetId="1">[3]Инструкция!$B$2</definedName>
    <definedName name="code" localSheetId="36">[3]Инструкция!$B$2</definedName>
    <definedName name="code" localSheetId="37">[3]Инструкция!$B$2</definedName>
    <definedName name="code">#REF!</definedName>
    <definedName name="CodeTemplateList" localSheetId="38">[1]TEHSHEET!$F$46:$F$53</definedName>
    <definedName name="CodeTemplateList" localSheetId="39">[2]TEHSHEET!$F$46:$F$53</definedName>
    <definedName name="CodeTemplateList" localSheetId="40">[2]TEHSHEET!$F$46:$F$53</definedName>
    <definedName name="CodeTemplateList" localSheetId="1">[3]TEHSHEET!$F$46:$F$53</definedName>
    <definedName name="CodeTemplateList" localSheetId="36">[3]TEHSHEET!$F$46:$F$53</definedName>
    <definedName name="CodeTemplateList" localSheetId="37">[3]TEHSHEET!$F$46:$F$53</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 localSheetId="38">[1]REESTR_DS!$B$2</definedName>
    <definedName name="DESCRIPTION_TERRITORY" localSheetId="39">[2]REESTR_DS!$B$2</definedName>
    <definedName name="DESCRIPTION_TERRITORY" localSheetId="40">[2]REESTR_DS!$B$2</definedName>
    <definedName name="DESCRIPTION_TERRITORY" localSheetId="1">[3]REESTR_DS!$B$2</definedName>
    <definedName name="DESCRIPTION_TERRITORY" localSheetId="36">[3]REESTR_DS!$B$2</definedName>
    <definedName name="DESCRIPTION_TERRITORY" localSheetId="37">[3]REESTR_DS!$B$2</definedName>
    <definedName name="DESCRIPTION_TERRITORY">REESTR_DS!$B$2</definedName>
    <definedName name="DIFFERENTIATION_AREA" localSheetId="39">'ГВС 2'!$I$12:$I$16</definedName>
    <definedName name="DIFFERENTIATION_AREA" localSheetId="1">'ТЭ+Теплоноситель 2'!$I$12:$I$19</definedName>
    <definedName name="DIFFERENTIATION_AREA">#REF!</definedName>
    <definedName name="DIFFERENTIATION_AREA_ID" localSheetId="39">'ГВС 2'!$U$11:$U$17</definedName>
    <definedName name="DIFFERENTIATION_AREA_ID" localSheetId="1">'ТЭ+Теплоноситель 2'!$U$11:$U$20</definedName>
    <definedName name="DIFFERENTIATION_AREA_ID">#REF!</definedName>
    <definedName name="DIFFERENTIATION_CheckC" localSheetId="39">'ГВС 2'!$D$12:$M$16</definedName>
    <definedName name="DIFFERENTIATION_CheckC" localSheetId="1">'ТЭ+Теплоноситель 2'!$D$12:$M$19</definedName>
    <definedName name="DIFFERENTIATION_CheckC">#REF!</definedName>
    <definedName name="DIFFERENTIATION_fieldMarker" localSheetId="39">'ГВС 2'!$W$12:$W$16</definedName>
    <definedName name="DIFFERENTIATION_fieldMarker" localSheetId="1">'ТЭ+Теплоноситель 2'!$W$12:$W$19</definedName>
    <definedName name="DIFFERENTIATION_fieldMarker">#REF!</definedName>
    <definedName name="DIFFERENTIATION_ID">TEHSHEET!$E$57</definedName>
    <definedName name="DIFFERENTIATION_ID_DIFF" localSheetId="38">'[1]ГВС 2'!$O$12:$O$16</definedName>
    <definedName name="DIFFERENTIATION_ID_DIFF" localSheetId="39">'ГВС 2'!$O$12:$O$16</definedName>
    <definedName name="DIFFERENTIATION_ID_DIFF" localSheetId="40">[2]Дифференциация!$O$12:$O$16</definedName>
    <definedName name="DIFFERENTIATION_ID_DIFF" localSheetId="1">'ТЭ+Теплоноситель 2'!$O$12:$O$19</definedName>
    <definedName name="DIFFERENTIATION_ID_DIFF" localSheetId="36">[3]Дифференциация!$O$12:$O$19</definedName>
    <definedName name="DIFFERENTIATION_ID_DIFF" localSheetId="37">[3]Дифференциация!$O$12:$O$19</definedName>
    <definedName name="DIFFERENTIATION_ID_DIFF">#REF!</definedName>
    <definedName name="DIFFERENTIATION_SYSTEM" localSheetId="39">'ГВС 2'!$M$12:$M$16</definedName>
    <definedName name="DIFFERENTIATION_SYSTEM" localSheetId="1">'ТЭ+Теплоноситель 2'!$M$12:$M$19</definedName>
    <definedName name="DIFFERENTIATION_SYSTEM">#REF!</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 localSheetId="38">'[1]ГВС 2'!$Q$12:$Q$16</definedName>
    <definedName name="DIFFERENTIATION_UNMERGE_AREA" localSheetId="39">'ГВС 2'!$Q$12:$Q$16</definedName>
    <definedName name="DIFFERENTIATION_UNMERGE_AREA" localSheetId="40">[2]Дифференциация!$Q$12:$Q$16</definedName>
    <definedName name="DIFFERENTIATION_UNMERGE_AREA" localSheetId="1">'ТЭ+Теплоноситель 2'!$Q$12:$Q$19</definedName>
    <definedName name="DIFFERENTIATION_UNMERGE_AREA" localSheetId="36">[3]Дифференциация!$Q$12:$Q$19</definedName>
    <definedName name="DIFFERENTIATION_UNMERGE_AREA" localSheetId="37">[3]Дифференциация!$Q$12:$Q$19</definedName>
    <definedName name="DIFFERENTIATION_UNMERGE_AREA">#REF!</definedName>
    <definedName name="DIFFERENTIATION_UNMERGE_SYSTEM" localSheetId="38">'[1]ГВС 2'!$R$12:$R$16</definedName>
    <definedName name="DIFFERENTIATION_UNMERGE_SYSTEM" localSheetId="39">'ГВС 2'!$R$12:$R$16</definedName>
    <definedName name="DIFFERENTIATION_UNMERGE_SYSTEM" localSheetId="40">[2]Дифференциация!$R$12:$R$16</definedName>
    <definedName name="DIFFERENTIATION_UNMERGE_SYSTEM" localSheetId="1">'ТЭ+Теплоноситель 2'!$R$12:$R$19</definedName>
    <definedName name="DIFFERENTIATION_UNMERGE_SYSTEM" localSheetId="36">[3]Дифференциация!$R$12:$R$19</definedName>
    <definedName name="DIFFERENTIATION_UNMERGE_SYSTEM" localSheetId="37">[3]Дифференциация!$R$12:$R$19</definedName>
    <definedName name="DIFFERENTIATION_UNMERGE_SYSTEM">#REF!</definedName>
    <definedName name="DIFFERENTIATION_UNMERGE_VD" localSheetId="38">'[1]ГВС 2'!$P$12:$P$16</definedName>
    <definedName name="DIFFERENTIATION_UNMERGE_VD" localSheetId="39">'ГВС 2'!$P$12:$P$16</definedName>
    <definedName name="DIFFERENTIATION_UNMERGE_VD" localSheetId="40">[2]Дифференциация!$P$12:$P$16</definedName>
    <definedName name="DIFFERENTIATION_UNMERGE_VD" localSheetId="1">'ТЭ+Теплоноситель 2'!$P$12:$P$19</definedName>
    <definedName name="DIFFERENTIATION_UNMERGE_VD" localSheetId="36">[3]Дифференциация!$P$12:$P$19</definedName>
    <definedName name="DIFFERENTIATION_UNMERGE_VD" localSheetId="37">[3]Дифференциация!$P$12:$P$19</definedName>
    <definedName name="DIFFERENTIATION_UNMERGE_VD">#REF!</definedName>
    <definedName name="DIFFERENTIATION_VD" localSheetId="39">'ГВС 2'!$E$12:$E$16</definedName>
    <definedName name="DIFFERENTIATION_VD" localSheetId="1">'ТЭ+Теплоноситель 2'!$E$12:$E$19</definedName>
    <definedName name="DIFFERENTIATION_VD">#REF!</definedName>
    <definedName name="DIFFERENTIATION_VD_ID" localSheetId="39">'ГВС 2'!$V$11:$V$17</definedName>
    <definedName name="DIFFERENTIATION_VD_ID" localSheetId="1">'ТЭ+Теплоноситель 2'!$V$11:$V$20</definedName>
    <definedName name="DIFFERENTIATION_VD_ID">#REF!</definedName>
    <definedName name="ED_DATE">ЭД!$G$12:$G$13</definedName>
    <definedName name="ED_DATE_PARKING">ЭД!$I$5</definedName>
    <definedName name="ED_LINK">ЭД!$H$12:$H$13</definedName>
    <definedName name="EndDateList" localSheetId="38">[1]TEHSHEET!$H$46:$H$53</definedName>
    <definedName name="EndDateList" localSheetId="39">[2]TEHSHEET!$H$46:$H$53</definedName>
    <definedName name="EndDateList" localSheetId="40">[2]TEHSHEET!$H$46:$H$53</definedName>
    <definedName name="EndDateList" localSheetId="1">[3]TEHSHEET!$H$46:$H$53</definedName>
    <definedName name="EndDateList" localSheetId="36">[3]TEHSHEET!$H$46:$H$53</definedName>
    <definedName name="EndDateList" localSheetId="37">[3]TEHSHEET!$H$46:$H$53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 localSheetId="36">'ТЭ+Теплоноситель 3'!$3:$4</definedName>
    <definedName name="et_hor_Q_LIMIT_1">#REF!</definedName>
    <definedName name="et_hor_Q_LIMIT_2" localSheetId="36">'ТЭ+Теплоноситель 3'!$6:$7</definedName>
    <definedName name="et_hor_Q_LIMIT_2">#REF!</definedName>
    <definedName name="et_hor_Q_LIMIT_3" localSheetId="36">'ТЭ+Теплоноситель 3'!$9:$11</definedName>
    <definedName name="et_hor_Q_LIMIT_3">#REF!</definedName>
    <definedName name="et_hor_Q_LIMIT_4" localSheetId="36">'ТЭ+Теплоноситель 3'!$13:$14</definedName>
    <definedName name="et_hor_Q_LIMIT_4">#REF!</definedName>
    <definedName name="et_hor_Q_TP_1" localSheetId="40">'ГВС 3'!$2:$2</definedName>
    <definedName name="et_hor_Q_TP_1" localSheetId="37">'ТЭ+Теплоноситель 4'!$2:$2</definedName>
    <definedName name="et_hor_Q_TP_1">#REF!</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 localSheetId="40">'ГВС 3'!$G:$G</definedName>
    <definedName name="et_Q_TP_DIFFERENTIATION" localSheetId="37">'ТЭ+Теплоноситель 4'!$G:$G</definedName>
    <definedName name="et_Q_TP_DIFFERENTIATION">#REF!</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 localSheetId="36">'ТЭ+Теплоноситель 3'!$G:$H</definedName>
    <definedName name="et_ver_Q_LIMIT_DIFFERENTIATION">#REF!</definedName>
    <definedName name="et_ver_Q_PH_DIFFERENTIATION">'Потребительские характеристики'!$G:$H</definedName>
    <definedName name="et_ver_Q_TP_DIFFERENTIATION" localSheetId="40">'ГВС 3'!$G:$G</definedName>
    <definedName name="et_ver_Q_TP_DIFFERENTIATION" localSheetId="37">'ТЭ+Теплоноситель 4'!$G:$G</definedName>
    <definedName name="et_ver_Q_TP_DIFFERENTIATION">#REF!</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 localSheetId="39">[2]Титульный!$F$15</definedName>
    <definedName name="f_quart" localSheetId="40">[2]Титульный!$F$15</definedName>
    <definedName name="f_quart" localSheetId="1">[3]Титульный!$F$15</definedName>
    <definedName name="f_quart" localSheetId="36">[3]Титульный!$F$15</definedName>
    <definedName name="f_quart" localSheetId="37">[3]Титульный!$F$15</definedName>
    <definedName name="f_quart">#REF!</definedName>
    <definedName name="f_year" localSheetId="39">[2]Титульный!$F$14</definedName>
    <definedName name="f_year" localSheetId="40">[2]Титульный!$F$14</definedName>
    <definedName name="f_year" localSheetId="1">[3]Титульный!$F$14</definedName>
    <definedName name="f_year" localSheetId="36">[3]Титульный!$F$14</definedName>
    <definedName name="f_year" localSheetId="37">[3]Титульный!$F$14</definedName>
    <definedName name="f_year">#REF!</definedName>
    <definedName name="FHD_NAME_FORM" localSheetId="38">[1]DATA_FORMS!$C$6</definedName>
    <definedName name="FHD_NAME_FORM" localSheetId="39">[2]DATA_FORMS!$C$6</definedName>
    <definedName name="FHD_NAME_FORM" localSheetId="40">[2]DATA_FORMS!$C$6</definedName>
    <definedName name="FHD_NAME_FORM" localSheetId="1">[3]DATA_FORMS!$C$6</definedName>
    <definedName name="FHD_NAME_FORM" localSheetId="36">[3]DATA_FORMS!$C$6</definedName>
    <definedName name="FHD_NAME_FORM" localSheetId="37">[3]DATA_FORMS!$C$6</definedName>
    <definedName name="FHD_NAME_FORM">DATA_FORMS!$C$6</definedName>
    <definedName name="FHD_NOTE_P_1" localSheetId="38">[1]DATA_NPA!$N$18</definedName>
    <definedName name="FHD_NOTE_P_1" localSheetId="39">[2]DATA_NPA!$N$18</definedName>
    <definedName name="FHD_NOTE_P_1" localSheetId="40">[2]DATA_NPA!$N$18</definedName>
    <definedName name="FHD_NOTE_P_1" localSheetId="1">[3]DATA_NPA!$N$18</definedName>
    <definedName name="FHD_NOTE_P_1" localSheetId="36">[3]DATA_NPA!$N$18</definedName>
    <definedName name="FHD_NOTE_P_1" localSheetId="37">[3]DATA_NPA!$N$18</definedName>
    <definedName name="FHD_NOTE_P_1">DATA_NPA!$N$18</definedName>
    <definedName name="FHD_NOTE_P_10" localSheetId="38">[1]DATA_NPA!$N$27</definedName>
    <definedName name="FHD_NOTE_P_10" localSheetId="39">[2]DATA_NPA!$N$27</definedName>
    <definedName name="FHD_NOTE_P_10" localSheetId="40">[2]DATA_NPA!$N$27</definedName>
    <definedName name="FHD_NOTE_P_10" localSheetId="1">[3]DATA_NPA!$N$27</definedName>
    <definedName name="FHD_NOTE_P_10" localSheetId="36">[3]DATA_NPA!$N$27</definedName>
    <definedName name="FHD_NOTE_P_10" localSheetId="37">[3]DATA_NPA!$N$27</definedName>
    <definedName name="FHD_NOTE_P_10">DATA_NPA!$N$27</definedName>
    <definedName name="FHD_NOTE_P_11" localSheetId="38">[1]DATA_NPA!$N$28</definedName>
    <definedName name="FHD_NOTE_P_11" localSheetId="39">[2]DATA_NPA!$N$28</definedName>
    <definedName name="FHD_NOTE_P_11" localSheetId="40">[2]DATA_NPA!$N$28</definedName>
    <definedName name="FHD_NOTE_P_11" localSheetId="1">[3]DATA_NPA!$N$28</definedName>
    <definedName name="FHD_NOTE_P_11" localSheetId="36">[3]DATA_NPA!$N$28</definedName>
    <definedName name="FHD_NOTE_P_11" localSheetId="37">[3]DATA_NPA!$N$28</definedName>
    <definedName name="FHD_NOTE_P_11">DATA_NPA!$N$28</definedName>
    <definedName name="FHD_NOTE_P_12" localSheetId="38">[1]DATA_NPA!$N$29</definedName>
    <definedName name="FHD_NOTE_P_12" localSheetId="39">[2]DATA_NPA!$N$29</definedName>
    <definedName name="FHD_NOTE_P_12" localSheetId="40">[2]DATA_NPA!$N$29</definedName>
    <definedName name="FHD_NOTE_P_12" localSheetId="1">[3]DATA_NPA!$N$29</definedName>
    <definedName name="FHD_NOTE_P_12" localSheetId="36">[3]DATA_NPA!$N$29</definedName>
    <definedName name="FHD_NOTE_P_12" localSheetId="37">[3]DATA_NPA!$N$29</definedName>
    <definedName name="FHD_NOTE_P_12">DATA_NPA!$N$29</definedName>
    <definedName name="FHD_NOTE_P_13" localSheetId="38">[1]DATA_NPA!$N$30</definedName>
    <definedName name="FHD_NOTE_P_13" localSheetId="39">[2]DATA_NPA!$N$30</definedName>
    <definedName name="FHD_NOTE_P_13" localSheetId="40">[2]DATA_NPA!$N$30</definedName>
    <definedName name="FHD_NOTE_P_13" localSheetId="1">[3]DATA_NPA!$N$30</definedName>
    <definedName name="FHD_NOTE_P_13" localSheetId="36">[3]DATA_NPA!$N$30</definedName>
    <definedName name="FHD_NOTE_P_13" localSheetId="37">[3]DATA_NPA!$N$30</definedName>
    <definedName name="FHD_NOTE_P_13">DATA_NPA!$N$30</definedName>
    <definedName name="FHD_NOTE_P_14" localSheetId="38">[1]DATA_NPA!$N$31</definedName>
    <definedName name="FHD_NOTE_P_14" localSheetId="39">[2]DATA_NPA!$N$31</definedName>
    <definedName name="FHD_NOTE_P_14" localSheetId="40">[2]DATA_NPA!$N$31</definedName>
    <definedName name="FHD_NOTE_P_14" localSheetId="1">[3]DATA_NPA!$N$31</definedName>
    <definedName name="FHD_NOTE_P_14" localSheetId="36">[3]DATA_NPA!$N$31</definedName>
    <definedName name="FHD_NOTE_P_14" localSheetId="37">[3]DATA_NPA!$N$31</definedName>
    <definedName name="FHD_NOTE_P_14">DATA_NPA!$N$31</definedName>
    <definedName name="FHD_NOTE_P_15" localSheetId="38">[1]DATA_NPA!$N$32</definedName>
    <definedName name="FHD_NOTE_P_15" localSheetId="39">[2]DATA_NPA!$N$32</definedName>
    <definedName name="FHD_NOTE_P_15" localSheetId="40">[2]DATA_NPA!$N$32</definedName>
    <definedName name="FHD_NOTE_P_15" localSheetId="1">[3]DATA_NPA!$N$32</definedName>
    <definedName name="FHD_NOTE_P_15" localSheetId="36">[3]DATA_NPA!$N$32</definedName>
    <definedName name="FHD_NOTE_P_15" localSheetId="37">[3]DATA_NPA!$N$32</definedName>
    <definedName name="FHD_NOTE_P_15">DATA_NPA!$N$32</definedName>
    <definedName name="FHD_NOTE_P_16" localSheetId="38">[1]DATA_NPA!$N$33</definedName>
    <definedName name="FHD_NOTE_P_16" localSheetId="39">[2]DATA_NPA!$N$33</definedName>
    <definedName name="FHD_NOTE_P_16" localSheetId="40">[2]DATA_NPA!$N$33</definedName>
    <definedName name="FHD_NOTE_P_16" localSheetId="1">[3]DATA_NPA!$N$33</definedName>
    <definedName name="FHD_NOTE_P_16" localSheetId="36">[3]DATA_NPA!$N$33</definedName>
    <definedName name="FHD_NOTE_P_16" localSheetId="37">[3]DATA_NPA!$N$33</definedName>
    <definedName name="FHD_NOTE_P_16">DATA_NPA!$N$33</definedName>
    <definedName name="FHD_NOTE_P_17" localSheetId="38">[1]DATA_NPA!$N$34</definedName>
    <definedName name="FHD_NOTE_P_17" localSheetId="39">[2]DATA_NPA!$N$34</definedName>
    <definedName name="FHD_NOTE_P_17" localSheetId="40">[2]DATA_NPA!$N$34</definedName>
    <definedName name="FHD_NOTE_P_17" localSheetId="1">[3]DATA_NPA!$N$34</definedName>
    <definedName name="FHD_NOTE_P_17" localSheetId="36">[3]DATA_NPA!$N$34</definedName>
    <definedName name="FHD_NOTE_P_17" localSheetId="37">[3]DATA_NPA!$N$34</definedName>
    <definedName name="FHD_NOTE_P_17">DATA_NPA!$N$34</definedName>
    <definedName name="FHD_NOTE_P_18" localSheetId="38">[1]DATA_NPA!$N$35</definedName>
    <definedName name="FHD_NOTE_P_18" localSheetId="39">[2]DATA_NPA!$N$35</definedName>
    <definedName name="FHD_NOTE_P_18" localSheetId="40">[2]DATA_NPA!$N$35</definedName>
    <definedName name="FHD_NOTE_P_18" localSheetId="1">[3]DATA_NPA!$N$35</definedName>
    <definedName name="FHD_NOTE_P_18" localSheetId="36">[3]DATA_NPA!$N$35</definedName>
    <definedName name="FHD_NOTE_P_18" localSheetId="37">[3]DATA_NPA!$N$35</definedName>
    <definedName name="FHD_NOTE_P_18">DATA_NPA!$N$35</definedName>
    <definedName name="FHD_NOTE_P_19" localSheetId="38">[1]DATA_NPA!$N$36</definedName>
    <definedName name="FHD_NOTE_P_19" localSheetId="39">[2]DATA_NPA!$N$36</definedName>
    <definedName name="FHD_NOTE_P_19" localSheetId="40">[2]DATA_NPA!$N$36</definedName>
    <definedName name="FHD_NOTE_P_19" localSheetId="1">[3]DATA_NPA!$N$36</definedName>
    <definedName name="FHD_NOTE_P_19" localSheetId="36">[3]DATA_NPA!$N$36</definedName>
    <definedName name="FHD_NOTE_P_19" localSheetId="37">[3]DATA_NPA!$N$36</definedName>
    <definedName name="FHD_NOTE_P_19">DATA_NPA!$N$36</definedName>
    <definedName name="FHD_NOTE_P_2" localSheetId="38">[1]DATA_NPA!$N$19</definedName>
    <definedName name="FHD_NOTE_P_2" localSheetId="39">[2]DATA_NPA!$N$19</definedName>
    <definedName name="FHD_NOTE_P_2" localSheetId="40">[2]DATA_NPA!$N$19</definedName>
    <definedName name="FHD_NOTE_P_2" localSheetId="1">[3]DATA_NPA!$N$19</definedName>
    <definedName name="FHD_NOTE_P_2" localSheetId="36">[3]DATA_NPA!$N$19</definedName>
    <definedName name="FHD_NOTE_P_2" localSheetId="37">[3]DATA_NPA!$N$19</definedName>
    <definedName name="FHD_NOTE_P_2">DATA_NPA!$N$19</definedName>
    <definedName name="FHD_NOTE_P_20" localSheetId="38">[1]DATA_NPA!$N$37</definedName>
    <definedName name="FHD_NOTE_P_20" localSheetId="39">[2]DATA_NPA!$N$37</definedName>
    <definedName name="FHD_NOTE_P_20" localSheetId="40">[2]DATA_NPA!$N$37</definedName>
    <definedName name="FHD_NOTE_P_20" localSheetId="1">[3]DATA_NPA!$N$37</definedName>
    <definedName name="FHD_NOTE_P_20" localSheetId="36">[3]DATA_NPA!$N$37</definedName>
    <definedName name="FHD_NOTE_P_20" localSheetId="37">[3]DATA_NPA!$N$37</definedName>
    <definedName name="FHD_NOTE_P_20">DATA_NPA!$N$37</definedName>
    <definedName name="FHD_NOTE_P_21" localSheetId="38">[1]DATA_NPA!$N$38</definedName>
    <definedName name="FHD_NOTE_P_21" localSheetId="39">[2]DATA_NPA!$N$38</definedName>
    <definedName name="FHD_NOTE_P_21" localSheetId="40">[2]DATA_NPA!$N$38</definedName>
    <definedName name="FHD_NOTE_P_21" localSheetId="1">[3]DATA_NPA!$N$38</definedName>
    <definedName name="FHD_NOTE_P_21" localSheetId="36">[3]DATA_NPA!$N$38</definedName>
    <definedName name="FHD_NOTE_P_21" localSheetId="37">[3]DATA_NPA!$N$38</definedName>
    <definedName name="FHD_NOTE_P_21">DATA_NPA!$N$38</definedName>
    <definedName name="FHD_NOTE_P_22" localSheetId="38">[1]DATA_NPA!$N$39</definedName>
    <definedName name="FHD_NOTE_P_22" localSheetId="39">[2]DATA_NPA!$N$39</definedName>
    <definedName name="FHD_NOTE_P_22" localSheetId="40">[2]DATA_NPA!$N$39</definedName>
    <definedName name="FHD_NOTE_P_22" localSheetId="1">[3]DATA_NPA!$N$39</definedName>
    <definedName name="FHD_NOTE_P_22" localSheetId="36">[3]DATA_NPA!$N$39</definedName>
    <definedName name="FHD_NOTE_P_22" localSheetId="37">[3]DATA_NPA!$N$39</definedName>
    <definedName name="FHD_NOTE_P_22">DATA_NPA!$N$39</definedName>
    <definedName name="FHD_NOTE_P_23" localSheetId="38">[1]DATA_NPA!$N$40</definedName>
    <definedName name="FHD_NOTE_P_23" localSheetId="39">[2]DATA_NPA!$N$40</definedName>
    <definedName name="FHD_NOTE_P_23" localSheetId="40">[2]DATA_NPA!$N$40</definedName>
    <definedName name="FHD_NOTE_P_23" localSheetId="1">[3]DATA_NPA!$N$40</definedName>
    <definedName name="FHD_NOTE_P_23" localSheetId="36">[3]DATA_NPA!$N$40</definedName>
    <definedName name="FHD_NOTE_P_23" localSheetId="37">[3]DATA_NPA!$N$40</definedName>
    <definedName name="FHD_NOTE_P_23">DATA_NPA!$N$40</definedName>
    <definedName name="FHD_NOTE_P_24" localSheetId="38">[1]DATA_NPA!$N$41</definedName>
    <definedName name="FHD_NOTE_P_24" localSheetId="39">[2]DATA_NPA!$N$41</definedName>
    <definedName name="FHD_NOTE_P_24" localSheetId="40">[2]DATA_NPA!$N$41</definedName>
    <definedName name="FHD_NOTE_P_24" localSheetId="1">[3]DATA_NPA!$N$41</definedName>
    <definedName name="FHD_NOTE_P_24" localSheetId="36">[3]DATA_NPA!$N$41</definedName>
    <definedName name="FHD_NOTE_P_24" localSheetId="37">[3]DATA_NPA!$N$41</definedName>
    <definedName name="FHD_NOTE_P_24">DATA_NPA!$N$41</definedName>
    <definedName name="FHD_NOTE_P_25" localSheetId="38">[1]DATA_NPA!$N$42</definedName>
    <definedName name="FHD_NOTE_P_25" localSheetId="39">[2]DATA_NPA!$N$42</definedName>
    <definedName name="FHD_NOTE_P_25" localSheetId="40">[2]DATA_NPA!$N$42</definedName>
    <definedName name="FHD_NOTE_P_25" localSheetId="1">[3]DATA_NPA!$N$42</definedName>
    <definedName name="FHD_NOTE_P_25" localSheetId="36">[3]DATA_NPA!$N$42</definedName>
    <definedName name="FHD_NOTE_P_25" localSheetId="37">[3]DATA_NPA!$N$42</definedName>
    <definedName name="FHD_NOTE_P_25">DATA_NPA!$N$42</definedName>
    <definedName name="FHD_NOTE_P_26" localSheetId="38">[1]DATA_NPA!$N$43</definedName>
    <definedName name="FHD_NOTE_P_26" localSheetId="39">[2]DATA_NPA!$N$43</definedName>
    <definedName name="FHD_NOTE_P_26" localSheetId="40">[2]DATA_NPA!$N$43</definedName>
    <definedName name="FHD_NOTE_P_26" localSheetId="1">[3]DATA_NPA!$N$43</definedName>
    <definedName name="FHD_NOTE_P_26" localSheetId="36">[3]DATA_NPA!$N$43</definedName>
    <definedName name="FHD_NOTE_P_26" localSheetId="37">[3]DATA_NPA!$N$43</definedName>
    <definedName name="FHD_NOTE_P_26">DATA_NPA!$N$43</definedName>
    <definedName name="FHD_NOTE_P_27" localSheetId="38">[1]DATA_NPA!$N$44</definedName>
    <definedName name="FHD_NOTE_P_27" localSheetId="39">[2]DATA_NPA!$N$44</definedName>
    <definedName name="FHD_NOTE_P_27" localSheetId="40">[2]DATA_NPA!$N$44</definedName>
    <definedName name="FHD_NOTE_P_27" localSheetId="1">[3]DATA_NPA!$N$44</definedName>
    <definedName name="FHD_NOTE_P_27" localSheetId="36">[3]DATA_NPA!$N$44</definedName>
    <definedName name="FHD_NOTE_P_27" localSheetId="37">[3]DATA_NPA!$N$44</definedName>
    <definedName name="FHD_NOTE_P_27">DATA_NPA!$N$44</definedName>
    <definedName name="FHD_NOTE_P_28" localSheetId="38">[1]DATA_NPA!$N$45</definedName>
    <definedName name="FHD_NOTE_P_28" localSheetId="39">[2]DATA_NPA!$N$45</definedName>
    <definedName name="FHD_NOTE_P_28" localSheetId="40">[2]DATA_NPA!$N$45</definedName>
    <definedName name="FHD_NOTE_P_28" localSheetId="1">[3]DATA_NPA!$N$45</definedName>
    <definedName name="FHD_NOTE_P_28" localSheetId="36">[3]DATA_NPA!$N$45</definedName>
    <definedName name="FHD_NOTE_P_28" localSheetId="37">[3]DATA_NPA!$N$45</definedName>
    <definedName name="FHD_NOTE_P_28">DATA_NPA!$N$45</definedName>
    <definedName name="FHD_NOTE_P_29" localSheetId="38">[1]DATA_NPA!$N$46</definedName>
    <definedName name="FHD_NOTE_P_29" localSheetId="39">[2]DATA_NPA!$N$46</definedName>
    <definedName name="FHD_NOTE_P_29" localSheetId="40">[2]DATA_NPA!$N$46</definedName>
    <definedName name="FHD_NOTE_P_29" localSheetId="1">[3]DATA_NPA!$N$46</definedName>
    <definedName name="FHD_NOTE_P_29" localSheetId="36">[3]DATA_NPA!$N$46</definedName>
    <definedName name="FHD_NOTE_P_29" localSheetId="37">[3]DATA_NPA!$N$46</definedName>
    <definedName name="FHD_NOTE_P_29">DATA_NPA!$N$46</definedName>
    <definedName name="FHD_NOTE_P_3" localSheetId="38">[1]DATA_NPA!$N$20</definedName>
    <definedName name="FHD_NOTE_P_3" localSheetId="39">[2]DATA_NPA!$N$20</definedName>
    <definedName name="FHD_NOTE_P_3" localSheetId="40">[2]DATA_NPA!$N$20</definedName>
    <definedName name="FHD_NOTE_P_3" localSheetId="1">[3]DATA_NPA!$N$20</definedName>
    <definedName name="FHD_NOTE_P_3" localSheetId="36">[3]DATA_NPA!$N$20</definedName>
    <definedName name="FHD_NOTE_P_3" localSheetId="37">[3]DATA_NPA!$N$20</definedName>
    <definedName name="FHD_NOTE_P_3">DATA_NPA!$N$20</definedName>
    <definedName name="FHD_NOTE_P_30" localSheetId="38">[1]DATA_NPA!$N$47</definedName>
    <definedName name="FHD_NOTE_P_30" localSheetId="39">[2]DATA_NPA!$N$47</definedName>
    <definedName name="FHD_NOTE_P_30" localSheetId="40">[2]DATA_NPA!$N$47</definedName>
    <definedName name="FHD_NOTE_P_30" localSheetId="1">[3]DATA_NPA!$N$47</definedName>
    <definedName name="FHD_NOTE_P_30" localSheetId="36">[3]DATA_NPA!$N$47</definedName>
    <definedName name="FHD_NOTE_P_30" localSheetId="37">[3]DATA_NPA!$N$47</definedName>
    <definedName name="FHD_NOTE_P_30">DATA_NPA!$N$47</definedName>
    <definedName name="FHD_NOTE_P_31" localSheetId="38">[1]DATA_NPA!$N$48</definedName>
    <definedName name="FHD_NOTE_P_31" localSheetId="39">[2]DATA_NPA!$N$48</definedName>
    <definedName name="FHD_NOTE_P_31" localSheetId="40">[2]DATA_NPA!$N$48</definedName>
    <definedName name="FHD_NOTE_P_31" localSheetId="1">[3]DATA_NPA!$N$48</definedName>
    <definedName name="FHD_NOTE_P_31" localSheetId="36">[3]DATA_NPA!$N$48</definedName>
    <definedName name="FHD_NOTE_P_31" localSheetId="37">[3]DATA_NPA!$N$48</definedName>
    <definedName name="FHD_NOTE_P_31">DATA_NPA!$N$48</definedName>
    <definedName name="FHD_NOTE_P_32" localSheetId="38">[1]DATA_NPA!$N$49</definedName>
    <definedName name="FHD_NOTE_P_32" localSheetId="39">[2]DATA_NPA!$N$49</definedName>
    <definedName name="FHD_NOTE_P_32" localSheetId="40">[2]DATA_NPA!$N$49</definedName>
    <definedName name="FHD_NOTE_P_32" localSheetId="1">[3]DATA_NPA!$N$49</definedName>
    <definedName name="FHD_NOTE_P_32" localSheetId="36">[3]DATA_NPA!$N$49</definedName>
    <definedName name="FHD_NOTE_P_32" localSheetId="37">[3]DATA_NPA!$N$49</definedName>
    <definedName name="FHD_NOTE_P_32">DATA_NPA!$N$49</definedName>
    <definedName name="FHD_NOTE_P_33" localSheetId="38">[1]DATA_NPA!$N$50</definedName>
    <definedName name="FHD_NOTE_P_33" localSheetId="39">[2]DATA_NPA!$N$50</definedName>
    <definedName name="FHD_NOTE_P_33" localSheetId="40">[2]DATA_NPA!$N$50</definedName>
    <definedName name="FHD_NOTE_P_33" localSheetId="1">[3]DATA_NPA!$N$50</definedName>
    <definedName name="FHD_NOTE_P_33" localSheetId="36">[3]DATA_NPA!$N$50</definedName>
    <definedName name="FHD_NOTE_P_33" localSheetId="37">[3]DATA_NPA!$N$50</definedName>
    <definedName name="FHD_NOTE_P_33">DATA_NPA!$N$50</definedName>
    <definedName name="FHD_NOTE_P_34" localSheetId="38">[1]DATA_NPA!$N$51</definedName>
    <definedName name="FHD_NOTE_P_34" localSheetId="39">[2]DATA_NPA!$N$51</definedName>
    <definedName name="FHD_NOTE_P_34" localSheetId="40">[2]DATA_NPA!$N$51</definedName>
    <definedName name="FHD_NOTE_P_34" localSheetId="1">[3]DATA_NPA!$N$51</definedName>
    <definedName name="FHD_NOTE_P_34" localSheetId="36">[3]DATA_NPA!$N$51</definedName>
    <definedName name="FHD_NOTE_P_34" localSheetId="37">[3]DATA_NPA!$N$51</definedName>
    <definedName name="FHD_NOTE_P_34">DATA_NPA!$N$51</definedName>
    <definedName name="FHD_NOTE_P_35" localSheetId="38">[1]DATA_NPA!$N$52</definedName>
    <definedName name="FHD_NOTE_P_35" localSheetId="39">[2]DATA_NPA!$N$52</definedName>
    <definedName name="FHD_NOTE_P_35" localSheetId="40">[2]DATA_NPA!$N$52</definedName>
    <definedName name="FHD_NOTE_P_35" localSheetId="1">[3]DATA_NPA!$N$52</definedName>
    <definedName name="FHD_NOTE_P_35" localSheetId="36">[3]DATA_NPA!$N$52</definedName>
    <definedName name="FHD_NOTE_P_35" localSheetId="37">[3]DATA_NPA!$N$52</definedName>
    <definedName name="FHD_NOTE_P_35">DATA_NPA!$N$52</definedName>
    <definedName name="FHD_NOTE_P_36" localSheetId="38">[1]DATA_NPA!$N$53</definedName>
    <definedName name="FHD_NOTE_P_36" localSheetId="39">[2]DATA_NPA!$N$53</definedName>
    <definedName name="FHD_NOTE_P_36" localSheetId="40">[2]DATA_NPA!$N$53</definedName>
    <definedName name="FHD_NOTE_P_36" localSheetId="1">[3]DATA_NPA!$N$53</definedName>
    <definedName name="FHD_NOTE_P_36" localSheetId="36">[3]DATA_NPA!$N$53</definedName>
    <definedName name="FHD_NOTE_P_36" localSheetId="37">[3]DATA_NPA!$N$53</definedName>
    <definedName name="FHD_NOTE_P_36">DATA_NPA!$N$53</definedName>
    <definedName name="FHD_NOTE_P_37" localSheetId="38">[1]DATA_NPA!$N$54</definedName>
    <definedName name="FHD_NOTE_P_37" localSheetId="39">[2]DATA_NPA!$N$54</definedName>
    <definedName name="FHD_NOTE_P_37" localSheetId="40">[2]DATA_NPA!$N$54</definedName>
    <definedName name="FHD_NOTE_P_37" localSheetId="1">[3]DATA_NPA!$N$54</definedName>
    <definedName name="FHD_NOTE_P_37" localSheetId="36">[3]DATA_NPA!$N$54</definedName>
    <definedName name="FHD_NOTE_P_37" localSheetId="37">[3]DATA_NPA!$N$54</definedName>
    <definedName name="FHD_NOTE_P_37">DATA_NPA!$N$54</definedName>
    <definedName name="FHD_NOTE_P_38" localSheetId="38">[1]DATA_NPA!$N$55</definedName>
    <definedName name="FHD_NOTE_P_38" localSheetId="39">[2]DATA_NPA!$N$55</definedName>
    <definedName name="FHD_NOTE_P_38" localSheetId="40">[2]DATA_NPA!$N$55</definedName>
    <definedName name="FHD_NOTE_P_38" localSheetId="1">[3]DATA_NPA!$N$55</definedName>
    <definedName name="FHD_NOTE_P_38" localSheetId="36">[3]DATA_NPA!$N$55</definedName>
    <definedName name="FHD_NOTE_P_38" localSheetId="37">[3]DATA_NPA!$N$55</definedName>
    <definedName name="FHD_NOTE_P_38">DATA_NPA!$N$55</definedName>
    <definedName name="FHD_NOTE_P_39" localSheetId="38">[1]DATA_NPA!$N$56</definedName>
    <definedName name="FHD_NOTE_P_39" localSheetId="39">[2]DATA_NPA!$N$56</definedName>
    <definedName name="FHD_NOTE_P_39" localSheetId="40">[2]DATA_NPA!$N$56</definedName>
    <definedName name="FHD_NOTE_P_39" localSheetId="1">[3]DATA_NPA!$N$56</definedName>
    <definedName name="FHD_NOTE_P_39" localSheetId="36">[3]DATA_NPA!$N$56</definedName>
    <definedName name="FHD_NOTE_P_39" localSheetId="37">[3]DATA_NPA!$N$56</definedName>
    <definedName name="FHD_NOTE_P_39">DATA_NPA!$N$56</definedName>
    <definedName name="FHD_NOTE_P_4" localSheetId="38">[1]DATA_NPA!$N$21</definedName>
    <definedName name="FHD_NOTE_P_4" localSheetId="39">[2]DATA_NPA!$N$21</definedName>
    <definedName name="FHD_NOTE_P_4" localSheetId="40">[2]DATA_NPA!$N$21</definedName>
    <definedName name="FHD_NOTE_P_4" localSheetId="1">[3]DATA_NPA!$N$21</definedName>
    <definedName name="FHD_NOTE_P_4" localSheetId="36">[3]DATA_NPA!$N$21</definedName>
    <definedName name="FHD_NOTE_P_4" localSheetId="37">[3]DATA_NPA!$N$21</definedName>
    <definedName name="FHD_NOTE_P_4">DATA_NPA!$N$21</definedName>
    <definedName name="FHD_NOTE_P_40" localSheetId="38">[1]DATA_NPA!$N$57</definedName>
    <definedName name="FHD_NOTE_P_40" localSheetId="39">[2]DATA_NPA!$N$57</definedName>
    <definedName name="FHD_NOTE_P_40" localSheetId="40">[2]DATA_NPA!$N$57</definedName>
    <definedName name="FHD_NOTE_P_40" localSheetId="1">[3]DATA_NPA!$N$57</definedName>
    <definedName name="FHD_NOTE_P_40" localSheetId="36">[3]DATA_NPA!$N$57</definedName>
    <definedName name="FHD_NOTE_P_40" localSheetId="37">[3]DATA_NPA!$N$57</definedName>
    <definedName name="FHD_NOTE_P_40">DATA_NPA!$N$57</definedName>
    <definedName name="FHD_NOTE_P_41" localSheetId="38">[1]DATA_NPA!$N$58</definedName>
    <definedName name="FHD_NOTE_P_41" localSheetId="39">[2]DATA_NPA!$N$58</definedName>
    <definedName name="FHD_NOTE_P_41" localSheetId="40">[2]DATA_NPA!$N$58</definedName>
    <definedName name="FHD_NOTE_P_41" localSheetId="1">[3]DATA_NPA!$N$58</definedName>
    <definedName name="FHD_NOTE_P_41" localSheetId="36">[3]DATA_NPA!$N$58</definedName>
    <definedName name="FHD_NOTE_P_41" localSheetId="37">[3]DATA_NPA!$N$58</definedName>
    <definedName name="FHD_NOTE_P_41">DATA_NPA!$N$58</definedName>
    <definedName name="FHD_NOTE_P_42" localSheetId="38">[1]DATA_NPA!$N$59</definedName>
    <definedName name="FHD_NOTE_P_42" localSheetId="39">[2]DATA_NPA!$N$59</definedName>
    <definedName name="FHD_NOTE_P_42" localSheetId="40">[2]DATA_NPA!$N$59</definedName>
    <definedName name="FHD_NOTE_P_42" localSheetId="1">[3]DATA_NPA!$N$59</definedName>
    <definedName name="FHD_NOTE_P_42" localSheetId="36">[3]DATA_NPA!$N$59</definedName>
    <definedName name="FHD_NOTE_P_42" localSheetId="37">[3]DATA_NPA!$N$59</definedName>
    <definedName name="FHD_NOTE_P_42">DATA_NPA!$N$59</definedName>
    <definedName name="FHD_NOTE_P_43" localSheetId="38">[1]DATA_NPA!$N$60</definedName>
    <definedName name="FHD_NOTE_P_43" localSheetId="39">[2]DATA_NPA!$N$60</definedName>
    <definedName name="FHD_NOTE_P_43" localSheetId="40">[2]DATA_NPA!$N$60</definedName>
    <definedName name="FHD_NOTE_P_43" localSheetId="1">[3]DATA_NPA!$N$60</definedName>
    <definedName name="FHD_NOTE_P_43" localSheetId="36">[3]DATA_NPA!$N$60</definedName>
    <definedName name="FHD_NOTE_P_43" localSheetId="37">[3]DATA_NPA!$N$60</definedName>
    <definedName name="FHD_NOTE_P_43">DATA_NPA!$N$60</definedName>
    <definedName name="FHD_NOTE_P_44" localSheetId="38">[1]DATA_NPA!$N$61</definedName>
    <definedName name="FHD_NOTE_P_44" localSheetId="39">[2]DATA_NPA!$N$61</definedName>
    <definedName name="FHD_NOTE_P_44" localSheetId="40">[2]DATA_NPA!$N$61</definedName>
    <definedName name="FHD_NOTE_P_44" localSheetId="1">[3]DATA_NPA!$N$61</definedName>
    <definedName name="FHD_NOTE_P_44" localSheetId="36">[3]DATA_NPA!$N$61</definedName>
    <definedName name="FHD_NOTE_P_44" localSheetId="37">[3]DATA_NPA!$N$61</definedName>
    <definedName name="FHD_NOTE_P_44">DATA_NPA!$N$61</definedName>
    <definedName name="FHD_NOTE_P_45" localSheetId="38">[1]DATA_NPA!$N$62</definedName>
    <definedName name="FHD_NOTE_P_45" localSheetId="39">[2]DATA_NPA!$N$62</definedName>
    <definedName name="FHD_NOTE_P_45" localSheetId="40">[2]DATA_NPA!$N$62</definedName>
    <definedName name="FHD_NOTE_P_45" localSheetId="1">[3]DATA_NPA!$N$62</definedName>
    <definedName name="FHD_NOTE_P_45" localSheetId="36">[3]DATA_NPA!$N$62</definedName>
    <definedName name="FHD_NOTE_P_45" localSheetId="37">[3]DATA_NPA!$N$62</definedName>
    <definedName name="FHD_NOTE_P_45">DATA_NPA!$N$62</definedName>
    <definedName name="FHD_NOTE_P_46" localSheetId="38">[1]DATA_NPA!$N$63</definedName>
    <definedName name="FHD_NOTE_P_46" localSheetId="39">[2]DATA_NPA!$N$63</definedName>
    <definedName name="FHD_NOTE_P_46" localSheetId="40">[2]DATA_NPA!$N$63</definedName>
    <definedName name="FHD_NOTE_P_46" localSheetId="1">[3]DATA_NPA!$N$63</definedName>
    <definedName name="FHD_NOTE_P_46" localSheetId="36">[3]DATA_NPA!$N$63</definedName>
    <definedName name="FHD_NOTE_P_46" localSheetId="37">[3]DATA_NPA!$N$63</definedName>
    <definedName name="FHD_NOTE_P_46">DATA_NPA!$N$63</definedName>
    <definedName name="FHD_NOTE_P_47" localSheetId="38">[1]DATA_NPA!$N$64</definedName>
    <definedName name="FHD_NOTE_P_47" localSheetId="39">[2]DATA_NPA!$N$64</definedName>
    <definedName name="FHD_NOTE_P_47" localSheetId="40">[2]DATA_NPA!$N$64</definedName>
    <definedName name="FHD_NOTE_P_47" localSheetId="1">[3]DATA_NPA!$N$64</definedName>
    <definedName name="FHD_NOTE_P_47" localSheetId="36">[3]DATA_NPA!$N$64</definedName>
    <definedName name="FHD_NOTE_P_47" localSheetId="37">[3]DATA_NPA!$N$64</definedName>
    <definedName name="FHD_NOTE_P_47">DATA_NPA!$N$64</definedName>
    <definedName name="FHD_NOTE_P_48" localSheetId="38">[1]DATA_NPA!$N$65</definedName>
    <definedName name="FHD_NOTE_P_48" localSheetId="39">[2]DATA_NPA!$N$65</definedName>
    <definedName name="FHD_NOTE_P_48" localSheetId="40">[2]DATA_NPA!$N$65</definedName>
    <definedName name="FHD_NOTE_P_48" localSheetId="1">[3]DATA_NPA!$N$65</definedName>
    <definedName name="FHD_NOTE_P_48" localSheetId="36">[3]DATA_NPA!$N$65</definedName>
    <definedName name="FHD_NOTE_P_48" localSheetId="37">[3]DATA_NPA!$N$65</definedName>
    <definedName name="FHD_NOTE_P_48">DATA_NPA!$N$65</definedName>
    <definedName name="FHD_NOTE_P_49" localSheetId="38">[1]DATA_NPA!$N$66</definedName>
    <definedName name="FHD_NOTE_P_49" localSheetId="39">[2]DATA_NPA!$N$66</definedName>
    <definedName name="FHD_NOTE_P_49" localSheetId="40">[2]DATA_NPA!$N$66</definedName>
    <definedName name="FHD_NOTE_P_49" localSheetId="1">[3]DATA_NPA!$N$66</definedName>
    <definedName name="FHD_NOTE_P_49" localSheetId="36">[3]DATA_NPA!$N$66</definedName>
    <definedName name="FHD_NOTE_P_49" localSheetId="37">[3]DATA_NPA!$N$66</definedName>
    <definedName name="FHD_NOTE_P_49">DATA_NPA!$N$66</definedName>
    <definedName name="FHD_NOTE_P_5" localSheetId="38">[1]DATA_NPA!$N$22</definedName>
    <definedName name="FHD_NOTE_P_5" localSheetId="39">[2]DATA_NPA!$N$22</definedName>
    <definedName name="FHD_NOTE_P_5" localSheetId="40">[2]DATA_NPA!$N$22</definedName>
    <definedName name="FHD_NOTE_P_5" localSheetId="1">[3]DATA_NPA!$N$22</definedName>
    <definedName name="FHD_NOTE_P_5" localSheetId="36">[3]DATA_NPA!$N$22</definedName>
    <definedName name="FHD_NOTE_P_5" localSheetId="37">[3]DATA_NPA!$N$22</definedName>
    <definedName name="FHD_NOTE_P_5">DATA_NPA!$N$22</definedName>
    <definedName name="FHD_NOTE_P_50" localSheetId="38">[1]DATA_NPA!$N$67</definedName>
    <definedName name="FHD_NOTE_P_50" localSheetId="39">[2]DATA_NPA!$N$67</definedName>
    <definedName name="FHD_NOTE_P_50" localSheetId="40">[2]DATA_NPA!$N$67</definedName>
    <definedName name="FHD_NOTE_P_50" localSheetId="1">[3]DATA_NPA!$N$67</definedName>
    <definedName name="FHD_NOTE_P_50" localSheetId="36">[3]DATA_NPA!$N$67</definedName>
    <definedName name="FHD_NOTE_P_50" localSheetId="37">[3]DATA_NPA!$N$67</definedName>
    <definedName name="FHD_NOTE_P_50">DATA_NPA!$N$67</definedName>
    <definedName name="FHD_NOTE_P_51" localSheetId="38">[1]DATA_NPA!$N$68</definedName>
    <definedName name="FHD_NOTE_P_51" localSheetId="39">[2]DATA_NPA!$N$68</definedName>
    <definedName name="FHD_NOTE_P_51" localSheetId="40">[2]DATA_NPA!$N$68</definedName>
    <definedName name="FHD_NOTE_P_51" localSheetId="1">[3]DATA_NPA!$N$68</definedName>
    <definedName name="FHD_NOTE_P_51" localSheetId="36">[3]DATA_NPA!$N$68</definedName>
    <definedName name="FHD_NOTE_P_51" localSheetId="37">[3]DATA_NPA!$N$68</definedName>
    <definedName name="FHD_NOTE_P_51">DATA_NPA!$N$68</definedName>
    <definedName name="FHD_NOTE_P_52" localSheetId="38">[1]DATA_NPA!$N$69</definedName>
    <definedName name="FHD_NOTE_P_52" localSheetId="39">[2]DATA_NPA!$N$69</definedName>
    <definedName name="FHD_NOTE_P_52" localSheetId="40">[2]DATA_NPA!$N$69</definedName>
    <definedName name="FHD_NOTE_P_52" localSheetId="1">[3]DATA_NPA!$N$69</definedName>
    <definedName name="FHD_NOTE_P_52" localSheetId="36">[3]DATA_NPA!$N$69</definedName>
    <definedName name="FHD_NOTE_P_52" localSheetId="37">[3]DATA_NPA!$N$69</definedName>
    <definedName name="FHD_NOTE_P_52">DATA_NPA!$N$69</definedName>
    <definedName name="FHD_NOTE_P_53" localSheetId="38">[1]DATA_NPA!$N$70</definedName>
    <definedName name="FHD_NOTE_P_53" localSheetId="39">[2]DATA_NPA!$N$70</definedName>
    <definedName name="FHD_NOTE_P_53" localSheetId="40">[2]DATA_NPA!$N$70</definedName>
    <definedName name="FHD_NOTE_P_53" localSheetId="1">[3]DATA_NPA!$N$70</definedName>
    <definedName name="FHD_NOTE_P_53" localSheetId="36">[3]DATA_NPA!$N$70</definedName>
    <definedName name="FHD_NOTE_P_53" localSheetId="37">[3]DATA_NPA!$N$70</definedName>
    <definedName name="FHD_NOTE_P_53">DATA_NPA!$N$70</definedName>
    <definedName name="FHD_NOTE_P_54" localSheetId="38">[1]DATA_NPA!$N$71</definedName>
    <definedName name="FHD_NOTE_P_54" localSheetId="39">[2]DATA_NPA!$N$71</definedName>
    <definedName name="FHD_NOTE_P_54" localSheetId="40">[2]DATA_NPA!$N$71</definedName>
    <definedName name="FHD_NOTE_P_54" localSheetId="1">[3]DATA_NPA!$N$71</definedName>
    <definedName name="FHD_NOTE_P_54" localSheetId="36">[3]DATA_NPA!$N$71</definedName>
    <definedName name="FHD_NOTE_P_54" localSheetId="37">[3]DATA_NPA!$N$71</definedName>
    <definedName name="FHD_NOTE_P_54">DATA_NPA!$N$71</definedName>
    <definedName name="FHD_NOTE_P_55" localSheetId="38">[1]DATA_NPA!$N$72</definedName>
    <definedName name="FHD_NOTE_P_55" localSheetId="39">[2]DATA_NPA!$N$72</definedName>
    <definedName name="FHD_NOTE_P_55" localSheetId="40">[2]DATA_NPA!$N$72</definedName>
    <definedName name="FHD_NOTE_P_55" localSheetId="1">[3]DATA_NPA!$N$72</definedName>
    <definedName name="FHD_NOTE_P_55" localSheetId="36">[3]DATA_NPA!$N$72</definedName>
    <definedName name="FHD_NOTE_P_55" localSheetId="37">[3]DATA_NPA!$N$72</definedName>
    <definedName name="FHD_NOTE_P_55">DATA_NPA!$N$72</definedName>
    <definedName name="FHD_NOTE_P_56" localSheetId="38">[1]DATA_NPA!$N$73</definedName>
    <definedName name="FHD_NOTE_P_56" localSheetId="39">[2]DATA_NPA!$N$73</definedName>
    <definedName name="FHD_NOTE_P_56" localSheetId="40">[2]DATA_NPA!$N$73</definedName>
    <definedName name="FHD_NOTE_P_56" localSheetId="1">[3]DATA_NPA!$N$73</definedName>
    <definedName name="FHD_NOTE_P_56" localSheetId="36">[3]DATA_NPA!$N$73</definedName>
    <definedName name="FHD_NOTE_P_56" localSheetId="37">[3]DATA_NPA!$N$73</definedName>
    <definedName name="FHD_NOTE_P_56">DATA_NPA!$N$73</definedName>
    <definedName name="FHD_NOTE_P_57" localSheetId="38">[1]DATA_NPA!$N$74</definedName>
    <definedName name="FHD_NOTE_P_57" localSheetId="39">[2]DATA_NPA!$N$74</definedName>
    <definedName name="FHD_NOTE_P_57" localSheetId="40">[2]DATA_NPA!$N$74</definedName>
    <definedName name="FHD_NOTE_P_57" localSheetId="1">[3]DATA_NPA!$N$74</definedName>
    <definedName name="FHD_NOTE_P_57" localSheetId="36">[3]DATA_NPA!$N$74</definedName>
    <definedName name="FHD_NOTE_P_57" localSheetId="37">[3]DATA_NPA!$N$74</definedName>
    <definedName name="FHD_NOTE_P_57">DATA_NPA!$N$74</definedName>
    <definedName name="FHD_NOTE_P_58" localSheetId="38">[1]DATA_NPA!$N$75</definedName>
    <definedName name="FHD_NOTE_P_58" localSheetId="39">[2]DATA_NPA!$N$75</definedName>
    <definedName name="FHD_NOTE_P_58" localSheetId="40">[2]DATA_NPA!$N$75</definedName>
    <definedName name="FHD_NOTE_P_58" localSheetId="1">[3]DATA_NPA!$N$75</definedName>
    <definedName name="FHD_NOTE_P_58" localSheetId="36">[3]DATA_NPA!$N$75</definedName>
    <definedName name="FHD_NOTE_P_58" localSheetId="37">[3]DATA_NPA!$N$75</definedName>
    <definedName name="FHD_NOTE_P_58">DATA_NPA!$N$75</definedName>
    <definedName name="FHD_NOTE_P_59" localSheetId="38">[1]DATA_NPA!$N$76</definedName>
    <definedName name="FHD_NOTE_P_59" localSheetId="39">[2]DATA_NPA!$N$76</definedName>
    <definedName name="FHD_NOTE_P_59" localSheetId="40">[2]DATA_NPA!$N$76</definedName>
    <definedName name="FHD_NOTE_P_59" localSheetId="1">[3]DATA_NPA!$N$76</definedName>
    <definedName name="FHD_NOTE_P_59" localSheetId="36">[3]DATA_NPA!$N$76</definedName>
    <definedName name="FHD_NOTE_P_59" localSheetId="37">[3]DATA_NPA!$N$76</definedName>
    <definedName name="FHD_NOTE_P_59">DATA_NPA!$N$76</definedName>
    <definedName name="FHD_NOTE_P_6" localSheetId="38">[1]DATA_NPA!$N$23</definedName>
    <definedName name="FHD_NOTE_P_6" localSheetId="39">[2]DATA_NPA!$N$23</definedName>
    <definedName name="FHD_NOTE_P_6" localSheetId="40">[2]DATA_NPA!$N$23</definedName>
    <definedName name="FHD_NOTE_P_6" localSheetId="1">[3]DATA_NPA!$N$23</definedName>
    <definedName name="FHD_NOTE_P_6" localSheetId="36">[3]DATA_NPA!$N$23</definedName>
    <definedName name="FHD_NOTE_P_6" localSheetId="37">[3]DATA_NPA!$N$23</definedName>
    <definedName name="FHD_NOTE_P_6">DATA_NPA!$N$23</definedName>
    <definedName name="FHD_NOTE_P_60" localSheetId="38">[1]DATA_NPA!$N$77</definedName>
    <definedName name="FHD_NOTE_P_60" localSheetId="39">[2]DATA_NPA!$N$77</definedName>
    <definedName name="FHD_NOTE_P_60" localSheetId="40">[2]DATA_NPA!$N$77</definedName>
    <definedName name="FHD_NOTE_P_60" localSheetId="1">[3]DATA_NPA!$N$77</definedName>
    <definedName name="FHD_NOTE_P_60" localSheetId="36">[3]DATA_NPA!$N$77</definedName>
    <definedName name="FHD_NOTE_P_60" localSheetId="37">[3]DATA_NPA!$N$77</definedName>
    <definedName name="FHD_NOTE_P_60">DATA_NPA!$N$77</definedName>
    <definedName name="FHD_NOTE_P_61" localSheetId="38">[1]DATA_NPA!$N$78</definedName>
    <definedName name="FHD_NOTE_P_61" localSheetId="39">[2]DATA_NPA!$N$78</definedName>
    <definedName name="FHD_NOTE_P_61" localSheetId="40">[2]DATA_NPA!$N$78</definedName>
    <definedName name="FHD_NOTE_P_61" localSheetId="1">[3]DATA_NPA!$N$78</definedName>
    <definedName name="FHD_NOTE_P_61" localSheetId="36">[3]DATA_NPA!$N$78</definedName>
    <definedName name="FHD_NOTE_P_61" localSheetId="37">[3]DATA_NPA!$N$78</definedName>
    <definedName name="FHD_NOTE_P_61">DATA_NPA!$N$78</definedName>
    <definedName name="FHD_NOTE_P_62" localSheetId="38">[1]DATA_NPA!$N$79</definedName>
    <definedName name="FHD_NOTE_P_62" localSheetId="39">[2]DATA_NPA!$N$79</definedName>
    <definedName name="FHD_NOTE_P_62" localSheetId="40">[2]DATA_NPA!$N$79</definedName>
    <definedName name="FHD_NOTE_P_62" localSheetId="1">[3]DATA_NPA!$N$79</definedName>
    <definedName name="FHD_NOTE_P_62" localSheetId="36">[3]DATA_NPA!$N$79</definedName>
    <definedName name="FHD_NOTE_P_62" localSheetId="37">[3]DATA_NPA!$N$79</definedName>
    <definedName name="FHD_NOTE_P_62">DATA_NPA!$N$79</definedName>
    <definedName name="FHD_NOTE_P_63" localSheetId="38">[1]DATA_NPA!$N$80</definedName>
    <definedName name="FHD_NOTE_P_63" localSheetId="39">[2]DATA_NPA!$N$80</definedName>
    <definedName name="FHD_NOTE_P_63" localSheetId="40">[2]DATA_NPA!$N$80</definedName>
    <definedName name="FHD_NOTE_P_63" localSheetId="1">[3]DATA_NPA!$N$80</definedName>
    <definedName name="FHD_NOTE_P_63" localSheetId="36">[3]DATA_NPA!$N$80</definedName>
    <definedName name="FHD_NOTE_P_63" localSheetId="37">[3]DATA_NPA!$N$80</definedName>
    <definedName name="FHD_NOTE_P_63">DATA_NPA!$N$80</definedName>
    <definedName name="FHD_NOTE_P_64" localSheetId="38">[1]DATA_NPA!$N$81</definedName>
    <definedName name="FHD_NOTE_P_64" localSheetId="39">[2]DATA_NPA!$N$81</definedName>
    <definedName name="FHD_NOTE_P_64" localSheetId="40">[2]DATA_NPA!$N$81</definedName>
    <definedName name="FHD_NOTE_P_64" localSheetId="1">[3]DATA_NPA!$N$81</definedName>
    <definedName name="FHD_NOTE_P_64" localSheetId="36">[3]DATA_NPA!$N$81</definedName>
    <definedName name="FHD_NOTE_P_64" localSheetId="37">[3]DATA_NPA!$N$81</definedName>
    <definedName name="FHD_NOTE_P_64">DATA_NPA!$N$81</definedName>
    <definedName name="FHD_NOTE_P_65" localSheetId="38">[1]DATA_NPA!$N$82</definedName>
    <definedName name="FHD_NOTE_P_65" localSheetId="39">[2]DATA_NPA!$N$82</definedName>
    <definedName name="FHD_NOTE_P_65" localSheetId="40">[2]DATA_NPA!$N$82</definedName>
    <definedName name="FHD_NOTE_P_65" localSheetId="1">[3]DATA_NPA!$N$82</definedName>
    <definedName name="FHD_NOTE_P_65" localSheetId="36">[3]DATA_NPA!$N$82</definedName>
    <definedName name="FHD_NOTE_P_65" localSheetId="37">[3]DATA_NPA!$N$82</definedName>
    <definedName name="FHD_NOTE_P_65">DATA_NPA!$N$82</definedName>
    <definedName name="FHD_NOTE_P_66" localSheetId="38">[1]DATA_NPA!$N$83</definedName>
    <definedName name="FHD_NOTE_P_66" localSheetId="39">[2]DATA_NPA!$N$83</definedName>
    <definedName name="FHD_NOTE_P_66" localSheetId="40">[2]DATA_NPA!$N$83</definedName>
    <definedName name="FHD_NOTE_P_66" localSheetId="1">[3]DATA_NPA!$N$83</definedName>
    <definedName name="FHD_NOTE_P_66" localSheetId="36">[3]DATA_NPA!$N$83</definedName>
    <definedName name="FHD_NOTE_P_66" localSheetId="37">[3]DATA_NPA!$N$83</definedName>
    <definedName name="FHD_NOTE_P_66">DATA_NPA!$N$83</definedName>
    <definedName name="FHD_NOTE_P_67" localSheetId="38">[1]DATA_NPA!$N$84</definedName>
    <definedName name="FHD_NOTE_P_67" localSheetId="39">[2]DATA_NPA!$N$84</definedName>
    <definedName name="FHD_NOTE_P_67" localSheetId="40">[2]DATA_NPA!$N$84</definedName>
    <definedName name="FHD_NOTE_P_67" localSheetId="1">[3]DATA_NPA!$N$84</definedName>
    <definedName name="FHD_NOTE_P_67" localSheetId="36">[3]DATA_NPA!$N$84</definedName>
    <definedName name="FHD_NOTE_P_67" localSheetId="37">[3]DATA_NPA!$N$84</definedName>
    <definedName name="FHD_NOTE_P_67">DATA_NPA!$N$84</definedName>
    <definedName name="FHD_NOTE_P_68" localSheetId="38">[1]DATA_NPA!$N$85</definedName>
    <definedName name="FHD_NOTE_P_68" localSheetId="39">[2]DATA_NPA!$N$85</definedName>
    <definedName name="FHD_NOTE_P_68" localSheetId="40">[2]DATA_NPA!$N$85</definedName>
    <definedName name="FHD_NOTE_P_68" localSheetId="1">[3]DATA_NPA!$N$85</definedName>
    <definedName name="FHD_NOTE_P_68" localSheetId="36">[3]DATA_NPA!$N$85</definedName>
    <definedName name="FHD_NOTE_P_68" localSheetId="37">[3]DATA_NPA!$N$85</definedName>
    <definedName name="FHD_NOTE_P_68">DATA_NPA!$N$85</definedName>
    <definedName name="FHD_NOTE_P_69" localSheetId="38">[1]DATA_NPA!$N$86</definedName>
    <definedName name="FHD_NOTE_P_69" localSheetId="39">[2]DATA_NPA!$N$86</definedName>
    <definedName name="FHD_NOTE_P_69" localSheetId="40">[2]DATA_NPA!$N$86</definedName>
    <definedName name="FHD_NOTE_P_69" localSheetId="1">[3]DATA_NPA!$N$86</definedName>
    <definedName name="FHD_NOTE_P_69" localSheetId="36">[3]DATA_NPA!$N$86</definedName>
    <definedName name="FHD_NOTE_P_69" localSheetId="37">[3]DATA_NPA!$N$86</definedName>
    <definedName name="FHD_NOTE_P_69">DATA_NPA!$N$86</definedName>
    <definedName name="FHD_NOTE_P_7" localSheetId="38">[1]DATA_NPA!$N$24</definedName>
    <definedName name="FHD_NOTE_P_7" localSheetId="39">[2]DATA_NPA!$N$24</definedName>
    <definedName name="FHD_NOTE_P_7" localSheetId="40">[2]DATA_NPA!$N$24</definedName>
    <definedName name="FHD_NOTE_P_7" localSheetId="1">[3]DATA_NPA!$N$24</definedName>
    <definedName name="FHD_NOTE_P_7" localSheetId="36">[3]DATA_NPA!$N$24</definedName>
    <definedName name="FHD_NOTE_P_7" localSheetId="37">[3]DATA_NPA!$N$24</definedName>
    <definedName name="FHD_NOTE_P_7">DATA_NPA!$N$24</definedName>
    <definedName name="FHD_NOTE_P_70" localSheetId="38">[1]DATA_NPA!$N$87</definedName>
    <definedName name="FHD_NOTE_P_70" localSheetId="39">[2]DATA_NPA!$N$87</definedName>
    <definedName name="FHD_NOTE_P_70" localSheetId="40">[2]DATA_NPA!$N$87</definedName>
    <definedName name="FHD_NOTE_P_70" localSheetId="1">[3]DATA_NPA!$N$87</definedName>
    <definedName name="FHD_NOTE_P_70" localSheetId="36">[3]DATA_NPA!$N$87</definedName>
    <definedName name="FHD_NOTE_P_70" localSheetId="37">[3]DATA_NPA!$N$87</definedName>
    <definedName name="FHD_NOTE_P_70">DATA_NPA!$N$87</definedName>
    <definedName name="FHD_NOTE_P_71" localSheetId="38">[1]DATA_NPA!$N$88</definedName>
    <definedName name="FHD_NOTE_P_71" localSheetId="39">[2]DATA_NPA!$N$88</definedName>
    <definedName name="FHD_NOTE_P_71" localSheetId="40">[2]DATA_NPA!$N$88</definedName>
    <definedName name="FHD_NOTE_P_71" localSheetId="1">[3]DATA_NPA!$N$88</definedName>
    <definedName name="FHD_NOTE_P_71" localSheetId="36">[3]DATA_NPA!$N$88</definedName>
    <definedName name="FHD_NOTE_P_71" localSheetId="37">[3]DATA_NPA!$N$88</definedName>
    <definedName name="FHD_NOTE_P_71">DATA_NPA!$N$88</definedName>
    <definedName name="FHD_NOTE_P_72" localSheetId="38">[1]DATA_NPA!$N$89</definedName>
    <definedName name="FHD_NOTE_P_72" localSheetId="39">[2]DATA_NPA!$N$89</definedName>
    <definedName name="FHD_NOTE_P_72" localSheetId="40">[2]DATA_NPA!$N$89</definedName>
    <definedName name="FHD_NOTE_P_72" localSheetId="1">[3]DATA_NPA!$N$89</definedName>
    <definedName name="FHD_NOTE_P_72" localSheetId="36">[3]DATA_NPA!$N$89</definedName>
    <definedName name="FHD_NOTE_P_72" localSheetId="37">[3]DATA_NPA!$N$89</definedName>
    <definedName name="FHD_NOTE_P_72">DATA_NPA!$N$89</definedName>
    <definedName name="FHD_NOTE_P_73" localSheetId="38">[1]DATA_NPA!$N$90</definedName>
    <definedName name="FHD_NOTE_P_73" localSheetId="39">[2]DATA_NPA!$N$90</definedName>
    <definedName name="FHD_NOTE_P_73" localSheetId="40">[2]DATA_NPA!$N$90</definedName>
    <definedName name="FHD_NOTE_P_73" localSheetId="1">[3]DATA_NPA!$N$90</definedName>
    <definedName name="FHD_NOTE_P_73" localSheetId="36">[3]DATA_NPA!$N$90</definedName>
    <definedName name="FHD_NOTE_P_73" localSheetId="37">[3]DATA_NPA!$N$90</definedName>
    <definedName name="FHD_NOTE_P_73">DATA_NPA!$N$90</definedName>
    <definedName name="FHD_NOTE_P_74" localSheetId="38">[1]DATA_NPA!$N$91</definedName>
    <definedName name="FHD_NOTE_P_74" localSheetId="39">[2]DATA_NPA!$N$91</definedName>
    <definedName name="FHD_NOTE_P_74" localSheetId="40">[2]DATA_NPA!$N$91</definedName>
    <definedName name="FHD_NOTE_P_74" localSheetId="1">[3]DATA_NPA!$N$91</definedName>
    <definedName name="FHD_NOTE_P_74" localSheetId="36">[3]DATA_NPA!$N$91</definedName>
    <definedName name="FHD_NOTE_P_74" localSheetId="37">[3]DATA_NPA!$N$91</definedName>
    <definedName name="FHD_NOTE_P_74">DATA_NPA!$N$91</definedName>
    <definedName name="FHD_NOTE_P_75" localSheetId="38">[1]DATA_NPA!$N$92</definedName>
    <definedName name="FHD_NOTE_P_75" localSheetId="39">[2]DATA_NPA!$N$92</definedName>
    <definedName name="FHD_NOTE_P_75" localSheetId="40">[2]DATA_NPA!$N$92</definedName>
    <definedName name="FHD_NOTE_P_75" localSheetId="1">[3]DATA_NPA!$N$92</definedName>
    <definedName name="FHD_NOTE_P_75" localSheetId="36">[3]DATA_NPA!$N$92</definedName>
    <definedName name="FHD_NOTE_P_75" localSheetId="37">[3]DATA_NPA!$N$92</definedName>
    <definedName name="FHD_NOTE_P_75">DATA_NPA!$N$92</definedName>
    <definedName name="FHD_NOTE_P_76" localSheetId="38">[1]DATA_NPA!$N$93</definedName>
    <definedName name="FHD_NOTE_P_76" localSheetId="39">[2]DATA_NPA!$N$93</definedName>
    <definedName name="FHD_NOTE_P_76" localSheetId="40">[2]DATA_NPA!$N$93</definedName>
    <definedName name="FHD_NOTE_P_76" localSheetId="1">[3]DATA_NPA!$N$93</definedName>
    <definedName name="FHD_NOTE_P_76" localSheetId="36">[3]DATA_NPA!$N$93</definedName>
    <definedName name="FHD_NOTE_P_76" localSheetId="37">[3]DATA_NPA!$N$93</definedName>
    <definedName name="FHD_NOTE_P_76">DATA_NPA!$N$93</definedName>
    <definedName name="FHD_NOTE_P_77" localSheetId="38">[1]DATA_NPA!$N$94</definedName>
    <definedName name="FHD_NOTE_P_77" localSheetId="39">[2]DATA_NPA!$N$94</definedName>
    <definedName name="FHD_NOTE_P_77" localSheetId="40">[2]DATA_NPA!$N$94</definedName>
    <definedName name="FHD_NOTE_P_77" localSheetId="1">[3]DATA_NPA!$N$94</definedName>
    <definedName name="FHD_NOTE_P_77" localSheetId="36">[3]DATA_NPA!$N$94</definedName>
    <definedName name="FHD_NOTE_P_77" localSheetId="37">[3]DATA_NPA!$N$94</definedName>
    <definedName name="FHD_NOTE_P_77">DATA_NPA!$N$94</definedName>
    <definedName name="FHD_NOTE_P_78" localSheetId="38">[1]DATA_NPA!$N$95</definedName>
    <definedName name="FHD_NOTE_P_78" localSheetId="39">[2]DATA_NPA!$N$95</definedName>
    <definedName name="FHD_NOTE_P_78" localSheetId="40">[2]DATA_NPA!$N$95</definedName>
    <definedName name="FHD_NOTE_P_78" localSheetId="1">[3]DATA_NPA!$N$95</definedName>
    <definedName name="FHD_NOTE_P_78" localSheetId="36">[3]DATA_NPA!$N$95</definedName>
    <definedName name="FHD_NOTE_P_78" localSheetId="37">[3]DATA_NPA!$N$95</definedName>
    <definedName name="FHD_NOTE_P_78">DATA_NPA!$N$95</definedName>
    <definedName name="FHD_NOTE_P_79" localSheetId="38">[1]DATA_NPA!$N$96</definedName>
    <definedName name="FHD_NOTE_P_79" localSheetId="39">[2]DATA_NPA!$N$96</definedName>
    <definedName name="FHD_NOTE_P_79" localSheetId="40">[2]DATA_NPA!$N$96</definedName>
    <definedName name="FHD_NOTE_P_79" localSheetId="1">[3]DATA_NPA!$N$96</definedName>
    <definedName name="FHD_NOTE_P_79" localSheetId="36">[3]DATA_NPA!$N$96</definedName>
    <definedName name="FHD_NOTE_P_79" localSheetId="37">[3]DATA_NPA!$N$96</definedName>
    <definedName name="FHD_NOTE_P_79">DATA_NPA!$N$96</definedName>
    <definedName name="FHD_NOTE_P_8" localSheetId="38">[1]DATA_NPA!$N$25</definedName>
    <definedName name="FHD_NOTE_P_8" localSheetId="39">[2]DATA_NPA!$N$25</definedName>
    <definedName name="FHD_NOTE_P_8" localSheetId="40">[2]DATA_NPA!$N$25</definedName>
    <definedName name="FHD_NOTE_P_8" localSheetId="1">[3]DATA_NPA!$N$25</definedName>
    <definedName name="FHD_NOTE_P_8" localSheetId="36">[3]DATA_NPA!$N$25</definedName>
    <definedName name="FHD_NOTE_P_8" localSheetId="37">[3]DATA_NPA!$N$25</definedName>
    <definedName name="FHD_NOTE_P_8">DATA_NPA!$N$25</definedName>
    <definedName name="FHD_NOTE_P_80" localSheetId="38">[1]DATA_NPA!$N$97</definedName>
    <definedName name="FHD_NOTE_P_80" localSheetId="39">[2]DATA_NPA!$N$97</definedName>
    <definedName name="FHD_NOTE_P_80" localSheetId="40">[2]DATA_NPA!$N$97</definedName>
    <definedName name="FHD_NOTE_P_80" localSheetId="1">[3]DATA_NPA!$N$97</definedName>
    <definedName name="FHD_NOTE_P_80" localSheetId="36">[3]DATA_NPA!$N$97</definedName>
    <definedName name="FHD_NOTE_P_80" localSheetId="37">[3]DATA_NPA!$N$97</definedName>
    <definedName name="FHD_NOTE_P_80">DATA_NPA!$N$97</definedName>
    <definedName name="FHD_NOTE_P_81" localSheetId="38">[1]DATA_NPA!$N$98</definedName>
    <definedName name="FHD_NOTE_P_81" localSheetId="39">[2]DATA_NPA!$N$98</definedName>
    <definedName name="FHD_NOTE_P_81" localSheetId="40">[2]DATA_NPA!$N$98</definedName>
    <definedName name="FHD_NOTE_P_81" localSheetId="1">[3]DATA_NPA!$N$98</definedName>
    <definedName name="FHD_NOTE_P_81" localSheetId="36">[3]DATA_NPA!$N$98</definedName>
    <definedName name="FHD_NOTE_P_81" localSheetId="37">[3]DATA_NPA!$N$98</definedName>
    <definedName name="FHD_NOTE_P_81">DATA_NPA!$N$98</definedName>
    <definedName name="FHD_NOTE_P_82" localSheetId="38">[1]DATA_NPA!$N$99</definedName>
    <definedName name="FHD_NOTE_P_82" localSheetId="39">[2]DATA_NPA!$N$99</definedName>
    <definedName name="FHD_NOTE_P_82" localSheetId="40">[2]DATA_NPA!$N$99</definedName>
    <definedName name="FHD_NOTE_P_82" localSheetId="1">[3]DATA_NPA!$N$99</definedName>
    <definedName name="FHD_NOTE_P_82" localSheetId="36">[3]DATA_NPA!$N$99</definedName>
    <definedName name="FHD_NOTE_P_82" localSheetId="37">[3]DATA_NPA!$N$99</definedName>
    <definedName name="FHD_NOTE_P_82">DATA_NPA!$N$99</definedName>
    <definedName name="FHD_NOTE_P_83" localSheetId="38">[1]DATA_NPA!$N$100</definedName>
    <definedName name="FHD_NOTE_P_83" localSheetId="39">[2]DATA_NPA!$N$100</definedName>
    <definedName name="FHD_NOTE_P_83" localSheetId="40">[2]DATA_NPA!$N$100</definedName>
    <definedName name="FHD_NOTE_P_83" localSheetId="1">[3]DATA_NPA!$N$100</definedName>
    <definedName name="FHD_NOTE_P_83" localSheetId="36">[3]DATA_NPA!$N$100</definedName>
    <definedName name="FHD_NOTE_P_83" localSheetId="37">[3]DATA_NPA!$N$100</definedName>
    <definedName name="FHD_NOTE_P_83">DATA_NPA!$N$100</definedName>
    <definedName name="FHD_NOTE_P_84" localSheetId="38">[1]DATA_NPA!$N$101</definedName>
    <definedName name="FHD_NOTE_P_84" localSheetId="39">[2]DATA_NPA!$N$101</definedName>
    <definedName name="FHD_NOTE_P_84" localSheetId="40">[2]DATA_NPA!$N$101</definedName>
    <definedName name="FHD_NOTE_P_84" localSheetId="1">[3]DATA_NPA!$N$101</definedName>
    <definedName name="FHD_NOTE_P_84" localSheetId="36">[3]DATA_NPA!$N$101</definedName>
    <definedName name="FHD_NOTE_P_84" localSheetId="37">[3]DATA_NPA!$N$101</definedName>
    <definedName name="FHD_NOTE_P_84">DATA_NPA!$N$101</definedName>
    <definedName name="FHD_NOTE_P_9" localSheetId="38">[1]DATA_NPA!$N$26</definedName>
    <definedName name="FHD_NOTE_P_9" localSheetId="39">[2]DATA_NPA!$N$26</definedName>
    <definedName name="FHD_NOTE_P_9" localSheetId="40">[2]DATA_NPA!$N$26</definedName>
    <definedName name="FHD_NOTE_P_9" localSheetId="1">[3]DATA_NPA!$N$26</definedName>
    <definedName name="FHD_NOTE_P_9" localSheetId="36">[3]DATA_NPA!$N$26</definedName>
    <definedName name="FHD_NOTE_P_9" localSheetId="37">[3]DATA_NPA!$N$26</definedName>
    <definedName name="FHD_NOTE_P_9">DATA_NPA!$N$26</definedName>
    <definedName name="FHD_NUM_P_1" localSheetId="38">[1]DATA_NPA!$L$18</definedName>
    <definedName name="FHD_NUM_P_1" localSheetId="39">[2]DATA_NPA!$L$18</definedName>
    <definedName name="FHD_NUM_P_1" localSheetId="40">[2]DATA_NPA!$L$18</definedName>
    <definedName name="FHD_NUM_P_1" localSheetId="1">[3]DATA_NPA!$L$18</definedName>
    <definedName name="FHD_NUM_P_1" localSheetId="36">[3]DATA_NPA!$L$18</definedName>
    <definedName name="FHD_NUM_P_1" localSheetId="37">[3]DATA_NPA!$L$18</definedName>
    <definedName name="FHD_NUM_P_1">DATA_NPA!$L$18</definedName>
    <definedName name="FHD_NUM_P_10" localSheetId="38">[1]DATA_NPA!$L$27</definedName>
    <definedName name="FHD_NUM_P_10" localSheetId="39">[2]DATA_NPA!$L$27</definedName>
    <definedName name="FHD_NUM_P_10" localSheetId="40">[2]DATA_NPA!$L$27</definedName>
    <definedName name="FHD_NUM_P_10" localSheetId="1">[3]DATA_NPA!$L$27</definedName>
    <definedName name="FHD_NUM_P_10" localSheetId="36">[3]DATA_NPA!$L$27</definedName>
    <definedName name="FHD_NUM_P_10" localSheetId="37">[3]DATA_NPA!$L$27</definedName>
    <definedName name="FHD_NUM_P_10">DATA_NPA!$L$27</definedName>
    <definedName name="FHD_NUM_P_11" localSheetId="38">[1]DATA_NPA!$L$28</definedName>
    <definedName name="FHD_NUM_P_11" localSheetId="39">[2]DATA_NPA!$L$28</definedName>
    <definedName name="FHD_NUM_P_11" localSheetId="40">[2]DATA_NPA!$L$28</definedName>
    <definedName name="FHD_NUM_P_11" localSheetId="1">[3]DATA_NPA!$L$28</definedName>
    <definedName name="FHD_NUM_P_11" localSheetId="36">[3]DATA_NPA!$L$28</definedName>
    <definedName name="FHD_NUM_P_11" localSheetId="37">[3]DATA_NPA!$L$28</definedName>
    <definedName name="FHD_NUM_P_11">DATA_NPA!$L$28</definedName>
    <definedName name="FHD_NUM_P_12" localSheetId="38">[1]DATA_NPA!$L$29</definedName>
    <definedName name="FHD_NUM_P_12" localSheetId="39">[2]DATA_NPA!$L$29</definedName>
    <definedName name="FHD_NUM_P_12" localSheetId="40">[2]DATA_NPA!$L$29</definedName>
    <definedName name="FHD_NUM_P_12" localSheetId="1">[3]DATA_NPA!$L$29</definedName>
    <definedName name="FHD_NUM_P_12" localSheetId="36">[3]DATA_NPA!$L$29</definedName>
    <definedName name="FHD_NUM_P_12" localSheetId="37">[3]DATA_NPA!$L$29</definedName>
    <definedName name="FHD_NUM_P_12">DATA_NPA!$L$29</definedName>
    <definedName name="FHD_NUM_P_13" localSheetId="38">[1]DATA_NPA!$L$30</definedName>
    <definedName name="FHD_NUM_P_13" localSheetId="39">[2]DATA_NPA!$L$30</definedName>
    <definedName name="FHD_NUM_P_13" localSheetId="40">[2]DATA_NPA!$L$30</definedName>
    <definedName name="FHD_NUM_P_13" localSheetId="1">[3]DATA_NPA!$L$30</definedName>
    <definedName name="FHD_NUM_P_13" localSheetId="36">[3]DATA_NPA!$L$30</definedName>
    <definedName name="FHD_NUM_P_13" localSheetId="37">[3]DATA_NPA!$L$30</definedName>
    <definedName name="FHD_NUM_P_13">DATA_NPA!$L$30</definedName>
    <definedName name="FHD_NUM_P_14" localSheetId="38">[1]DATA_NPA!$L$31</definedName>
    <definedName name="FHD_NUM_P_14" localSheetId="39">[2]DATA_NPA!$L$31</definedName>
    <definedName name="FHD_NUM_P_14" localSheetId="40">[2]DATA_NPA!$L$31</definedName>
    <definedName name="FHD_NUM_P_14" localSheetId="1">[3]DATA_NPA!$L$31</definedName>
    <definedName name="FHD_NUM_P_14" localSheetId="36">[3]DATA_NPA!$L$31</definedName>
    <definedName name="FHD_NUM_P_14" localSheetId="37">[3]DATA_NPA!$L$31</definedName>
    <definedName name="FHD_NUM_P_14">DATA_NPA!$L$31</definedName>
    <definedName name="FHD_NUM_P_15" localSheetId="38">[1]DATA_NPA!$L$32</definedName>
    <definedName name="FHD_NUM_P_15" localSheetId="39">[2]DATA_NPA!$L$32</definedName>
    <definedName name="FHD_NUM_P_15" localSheetId="40">[2]DATA_NPA!$L$32</definedName>
    <definedName name="FHD_NUM_P_15" localSheetId="1">[3]DATA_NPA!$L$32</definedName>
    <definedName name="FHD_NUM_P_15" localSheetId="36">[3]DATA_NPA!$L$32</definedName>
    <definedName name="FHD_NUM_P_15" localSheetId="37">[3]DATA_NPA!$L$32</definedName>
    <definedName name="FHD_NUM_P_15">DATA_NPA!$L$32</definedName>
    <definedName name="FHD_NUM_P_16" localSheetId="38">[1]DATA_NPA!$L$33</definedName>
    <definedName name="FHD_NUM_P_16" localSheetId="39">[2]DATA_NPA!$L$33</definedName>
    <definedName name="FHD_NUM_P_16" localSheetId="40">[2]DATA_NPA!$L$33</definedName>
    <definedName name="FHD_NUM_P_16" localSheetId="1">[3]DATA_NPA!$L$33</definedName>
    <definedName name="FHD_NUM_P_16" localSheetId="36">[3]DATA_NPA!$L$33</definedName>
    <definedName name="FHD_NUM_P_16" localSheetId="37">[3]DATA_NPA!$L$33</definedName>
    <definedName name="FHD_NUM_P_16">DATA_NPA!$L$33</definedName>
    <definedName name="FHD_NUM_P_17" localSheetId="38">[1]DATA_NPA!$L$34</definedName>
    <definedName name="FHD_NUM_P_17" localSheetId="39">[2]DATA_NPA!$L$34</definedName>
    <definedName name="FHD_NUM_P_17" localSheetId="40">[2]DATA_NPA!$L$34</definedName>
    <definedName name="FHD_NUM_P_17" localSheetId="1">[3]DATA_NPA!$L$34</definedName>
    <definedName name="FHD_NUM_P_17" localSheetId="36">[3]DATA_NPA!$L$34</definedName>
    <definedName name="FHD_NUM_P_17" localSheetId="37">[3]DATA_NPA!$L$34</definedName>
    <definedName name="FHD_NUM_P_17">DATA_NPA!$L$34</definedName>
    <definedName name="FHD_NUM_P_18" localSheetId="38">[1]DATA_NPA!$L$35</definedName>
    <definedName name="FHD_NUM_P_18" localSheetId="39">[2]DATA_NPA!$L$35</definedName>
    <definedName name="FHD_NUM_P_18" localSheetId="40">[2]DATA_NPA!$L$35</definedName>
    <definedName name="FHD_NUM_P_18" localSheetId="1">[3]DATA_NPA!$L$35</definedName>
    <definedName name="FHD_NUM_P_18" localSheetId="36">[3]DATA_NPA!$L$35</definedName>
    <definedName name="FHD_NUM_P_18" localSheetId="37">[3]DATA_NPA!$L$35</definedName>
    <definedName name="FHD_NUM_P_18">DATA_NPA!$L$35</definedName>
    <definedName name="FHD_NUM_P_19" localSheetId="38">[1]DATA_NPA!$L$36</definedName>
    <definedName name="FHD_NUM_P_19" localSheetId="39">[2]DATA_NPA!$L$36</definedName>
    <definedName name="FHD_NUM_P_19" localSheetId="40">[2]DATA_NPA!$L$36</definedName>
    <definedName name="FHD_NUM_P_19" localSheetId="1">[3]DATA_NPA!$L$36</definedName>
    <definedName name="FHD_NUM_P_19" localSheetId="36">[3]DATA_NPA!$L$36</definedName>
    <definedName name="FHD_NUM_P_19" localSheetId="37">[3]DATA_NPA!$L$36</definedName>
    <definedName name="FHD_NUM_P_19">DATA_NPA!$L$36</definedName>
    <definedName name="FHD_NUM_P_2" localSheetId="38">[1]DATA_NPA!$L$19</definedName>
    <definedName name="FHD_NUM_P_2" localSheetId="39">[2]DATA_NPA!$L$19</definedName>
    <definedName name="FHD_NUM_P_2" localSheetId="40">[2]DATA_NPA!$L$19</definedName>
    <definedName name="FHD_NUM_P_2" localSheetId="1">[3]DATA_NPA!$L$19</definedName>
    <definedName name="FHD_NUM_P_2" localSheetId="36">[3]DATA_NPA!$L$19</definedName>
    <definedName name="FHD_NUM_P_2" localSheetId="37">[3]DATA_NPA!$L$19</definedName>
    <definedName name="FHD_NUM_P_2">DATA_NPA!$L$19</definedName>
    <definedName name="FHD_NUM_P_20" localSheetId="38">[1]DATA_NPA!$L$37</definedName>
    <definedName name="FHD_NUM_P_20" localSheetId="39">[2]DATA_NPA!$L$37</definedName>
    <definedName name="FHD_NUM_P_20" localSheetId="40">[2]DATA_NPA!$L$37</definedName>
    <definedName name="FHD_NUM_P_20" localSheetId="1">[3]DATA_NPA!$L$37</definedName>
    <definedName name="FHD_NUM_P_20" localSheetId="36">[3]DATA_NPA!$L$37</definedName>
    <definedName name="FHD_NUM_P_20" localSheetId="37">[3]DATA_NPA!$L$37</definedName>
    <definedName name="FHD_NUM_P_20">DATA_NPA!$L$37</definedName>
    <definedName name="FHD_NUM_P_21" localSheetId="38">[1]DATA_NPA!$L$38</definedName>
    <definedName name="FHD_NUM_P_21" localSheetId="39">[2]DATA_NPA!$L$38</definedName>
    <definedName name="FHD_NUM_P_21" localSheetId="40">[2]DATA_NPA!$L$38</definedName>
    <definedName name="FHD_NUM_P_21" localSheetId="1">[3]DATA_NPA!$L$38</definedName>
    <definedName name="FHD_NUM_P_21" localSheetId="36">[3]DATA_NPA!$L$38</definedName>
    <definedName name="FHD_NUM_P_21" localSheetId="37">[3]DATA_NPA!$L$38</definedName>
    <definedName name="FHD_NUM_P_21">DATA_NPA!$L$38</definedName>
    <definedName name="FHD_NUM_P_22" localSheetId="38">[1]DATA_NPA!$L$39</definedName>
    <definedName name="FHD_NUM_P_22" localSheetId="39">[2]DATA_NPA!$L$39</definedName>
    <definedName name="FHD_NUM_P_22" localSheetId="40">[2]DATA_NPA!$L$39</definedName>
    <definedName name="FHD_NUM_P_22" localSheetId="1">[3]DATA_NPA!$L$39</definedName>
    <definedName name="FHD_NUM_P_22" localSheetId="36">[3]DATA_NPA!$L$39</definedName>
    <definedName name="FHD_NUM_P_22" localSheetId="37">[3]DATA_NPA!$L$39</definedName>
    <definedName name="FHD_NUM_P_22">DATA_NPA!$L$39</definedName>
    <definedName name="FHD_NUM_P_23" localSheetId="38">[1]DATA_NPA!$L$40</definedName>
    <definedName name="FHD_NUM_P_23" localSheetId="39">[2]DATA_NPA!$L$40</definedName>
    <definedName name="FHD_NUM_P_23" localSheetId="40">[2]DATA_NPA!$L$40</definedName>
    <definedName name="FHD_NUM_P_23" localSheetId="1">[3]DATA_NPA!$L$40</definedName>
    <definedName name="FHD_NUM_P_23" localSheetId="36">[3]DATA_NPA!$L$40</definedName>
    <definedName name="FHD_NUM_P_23" localSheetId="37">[3]DATA_NPA!$L$40</definedName>
    <definedName name="FHD_NUM_P_23">DATA_NPA!$L$40</definedName>
    <definedName name="FHD_NUM_P_24" localSheetId="38">[1]DATA_NPA!$L$41</definedName>
    <definedName name="FHD_NUM_P_24" localSheetId="39">[2]DATA_NPA!$L$41</definedName>
    <definedName name="FHD_NUM_P_24" localSheetId="40">[2]DATA_NPA!$L$41</definedName>
    <definedName name="FHD_NUM_P_24" localSheetId="1">[3]DATA_NPA!$L$41</definedName>
    <definedName name="FHD_NUM_P_24" localSheetId="36">[3]DATA_NPA!$L$41</definedName>
    <definedName name="FHD_NUM_P_24" localSheetId="37">[3]DATA_NPA!$L$41</definedName>
    <definedName name="FHD_NUM_P_24">DATA_NPA!$L$41</definedName>
    <definedName name="FHD_NUM_P_25" localSheetId="38">[1]DATA_NPA!$L$42</definedName>
    <definedName name="FHD_NUM_P_25" localSheetId="39">[2]DATA_NPA!$L$42</definedName>
    <definedName name="FHD_NUM_P_25" localSheetId="40">[2]DATA_NPA!$L$42</definedName>
    <definedName name="FHD_NUM_P_25" localSheetId="1">[3]DATA_NPA!$L$42</definedName>
    <definedName name="FHD_NUM_P_25" localSheetId="36">[3]DATA_NPA!$L$42</definedName>
    <definedName name="FHD_NUM_P_25" localSheetId="37">[3]DATA_NPA!$L$42</definedName>
    <definedName name="FHD_NUM_P_25">DATA_NPA!$L$42</definedName>
    <definedName name="FHD_NUM_P_26" localSheetId="38">[1]DATA_NPA!$L$43</definedName>
    <definedName name="FHD_NUM_P_26" localSheetId="39">[2]DATA_NPA!$L$43</definedName>
    <definedName name="FHD_NUM_P_26" localSheetId="40">[2]DATA_NPA!$L$43</definedName>
    <definedName name="FHD_NUM_P_26" localSheetId="1">[3]DATA_NPA!$L$43</definedName>
    <definedName name="FHD_NUM_P_26" localSheetId="36">[3]DATA_NPA!$L$43</definedName>
    <definedName name="FHD_NUM_P_26" localSheetId="37">[3]DATA_NPA!$L$43</definedName>
    <definedName name="FHD_NUM_P_26">DATA_NPA!$L$43</definedName>
    <definedName name="FHD_NUM_P_27" localSheetId="38">[1]DATA_NPA!$L$44</definedName>
    <definedName name="FHD_NUM_P_27" localSheetId="39">[2]DATA_NPA!$L$44</definedName>
    <definedName name="FHD_NUM_P_27" localSheetId="40">[2]DATA_NPA!$L$44</definedName>
    <definedName name="FHD_NUM_P_27" localSheetId="1">[3]DATA_NPA!$L$44</definedName>
    <definedName name="FHD_NUM_P_27" localSheetId="36">[3]DATA_NPA!$L$44</definedName>
    <definedName name="FHD_NUM_P_27" localSheetId="37">[3]DATA_NPA!$L$44</definedName>
    <definedName name="FHD_NUM_P_27">DATA_NPA!$L$44</definedName>
    <definedName name="FHD_NUM_P_28" localSheetId="38">[1]DATA_NPA!$L$45</definedName>
    <definedName name="FHD_NUM_P_28" localSheetId="39">[2]DATA_NPA!$L$45</definedName>
    <definedName name="FHD_NUM_P_28" localSheetId="40">[2]DATA_NPA!$L$45</definedName>
    <definedName name="FHD_NUM_P_28" localSheetId="1">[3]DATA_NPA!$L$45</definedName>
    <definedName name="FHD_NUM_P_28" localSheetId="36">[3]DATA_NPA!$L$45</definedName>
    <definedName name="FHD_NUM_P_28" localSheetId="37">[3]DATA_NPA!$L$45</definedName>
    <definedName name="FHD_NUM_P_28">DATA_NPA!$L$45</definedName>
    <definedName name="FHD_NUM_P_29" localSheetId="38">[1]DATA_NPA!$L$46</definedName>
    <definedName name="FHD_NUM_P_29" localSheetId="39">[2]DATA_NPA!$L$46</definedName>
    <definedName name="FHD_NUM_P_29" localSheetId="40">[2]DATA_NPA!$L$46</definedName>
    <definedName name="FHD_NUM_P_29" localSheetId="1">[3]DATA_NPA!$L$46</definedName>
    <definedName name="FHD_NUM_P_29" localSheetId="36">[3]DATA_NPA!$L$46</definedName>
    <definedName name="FHD_NUM_P_29" localSheetId="37">[3]DATA_NPA!$L$46</definedName>
    <definedName name="FHD_NUM_P_29">DATA_NPA!$L$46</definedName>
    <definedName name="FHD_NUM_P_3" localSheetId="38">[1]DATA_NPA!$L$20</definedName>
    <definedName name="FHD_NUM_P_3" localSheetId="39">[2]DATA_NPA!$L$20</definedName>
    <definedName name="FHD_NUM_P_3" localSheetId="40">[2]DATA_NPA!$L$20</definedName>
    <definedName name="FHD_NUM_P_3" localSheetId="1">[3]DATA_NPA!$L$20</definedName>
    <definedName name="FHD_NUM_P_3" localSheetId="36">[3]DATA_NPA!$L$20</definedName>
    <definedName name="FHD_NUM_P_3" localSheetId="37">[3]DATA_NPA!$L$20</definedName>
    <definedName name="FHD_NUM_P_3">DATA_NPA!$L$20</definedName>
    <definedName name="FHD_NUM_P_30" localSheetId="38">[1]DATA_NPA!$L$47</definedName>
    <definedName name="FHD_NUM_P_30" localSheetId="39">[2]DATA_NPA!$L$47</definedName>
    <definedName name="FHD_NUM_P_30" localSheetId="40">[2]DATA_NPA!$L$47</definedName>
    <definedName name="FHD_NUM_P_30" localSheetId="1">[3]DATA_NPA!$L$47</definedName>
    <definedName name="FHD_NUM_P_30" localSheetId="36">[3]DATA_NPA!$L$47</definedName>
    <definedName name="FHD_NUM_P_30" localSheetId="37">[3]DATA_NPA!$L$47</definedName>
    <definedName name="FHD_NUM_P_30">DATA_NPA!$L$47</definedName>
    <definedName name="FHD_NUM_P_31" localSheetId="38">[1]DATA_NPA!$L$48</definedName>
    <definedName name="FHD_NUM_P_31" localSheetId="39">[2]DATA_NPA!$L$48</definedName>
    <definedName name="FHD_NUM_P_31" localSheetId="40">[2]DATA_NPA!$L$48</definedName>
    <definedName name="FHD_NUM_P_31" localSheetId="1">[3]DATA_NPA!$L$48</definedName>
    <definedName name="FHD_NUM_P_31" localSheetId="36">[3]DATA_NPA!$L$48</definedName>
    <definedName name="FHD_NUM_P_31" localSheetId="37">[3]DATA_NPA!$L$48</definedName>
    <definedName name="FHD_NUM_P_31">DATA_NPA!$L$48</definedName>
    <definedName name="FHD_NUM_P_32" localSheetId="38">[1]DATA_NPA!$L$49</definedName>
    <definedName name="FHD_NUM_P_32" localSheetId="39">[2]DATA_NPA!$L$49</definedName>
    <definedName name="FHD_NUM_P_32" localSheetId="40">[2]DATA_NPA!$L$49</definedName>
    <definedName name="FHD_NUM_P_32" localSheetId="1">[3]DATA_NPA!$L$49</definedName>
    <definedName name="FHD_NUM_P_32" localSheetId="36">[3]DATA_NPA!$L$49</definedName>
    <definedName name="FHD_NUM_P_32" localSheetId="37">[3]DATA_NPA!$L$49</definedName>
    <definedName name="FHD_NUM_P_32">DATA_NPA!$L$49</definedName>
    <definedName name="FHD_NUM_P_33" localSheetId="38">[1]DATA_NPA!$L$50</definedName>
    <definedName name="FHD_NUM_P_33" localSheetId="39">[2]DATA_NPA!$L$50</definedName>
    <definedName name="FHD_NUM_P_33" localSheetId="40">[2]DATA_NPA!$L$50</definedName>
    <definedName name="FHD_NUM_P_33" localSheetId="1">[3]DATA_NPA!$L$50</definedName>
    <definedName name="FHD_NUM_P_33" localSheetId="36">[3]DATA_NPA!$L$50</definedName>
    <definedName name="FHD_NUM_P_33" localSheetId="37">[3]DATA_NPA!$L$50</definedName>
    <definedName name="FHD_NUM_P_33">DATA_NPA!$L$50</definedName>
    <definedName name="FHD_NUM_P_34" localSheetId="38">[1]DATA_NPA!$L$51</definedName>
    <definedName name="FHD_NUM_P_34" localSheetId="39">[2]DATA_NPA!$L$51</definedName>
    <definedName name="FHD_NUM_P_34" localSheetId="40">[2]DATA_NPA!$L$51</definedName>
    <definedName name="FHD_NUM_P_34" localSheetId="1">[3]DATA_NPA!$L$51</definedName>
    <definedName name="FHD_NUM_P_34" localSheetId="36">[3]DATA_NPA!$L$51</definedName>
    <definedName name="FHD_NUM_P_34" localSheetId="37">[3]DATA_NPA!$L$51</definedName>
    <definedName name="FHD_NUM_P_34">DATA_NPA!$L$51</definedName>
    <definedName name="FHD_NUM_P_35" localSheetId="38">[1]DATA_NPA!$L$52</definedName>
    <definedName name="FHD_NUM_P_35" localSheetId="39">[2]DATA_NPA!$L$52</definedName>
    <definedName name="FHD_NUM_P_35" localSheetId="40">[2]DATA_NPA!$L$52</definedName>
    <definedName name="FHD_NUM_P_35" localSheetId="1">[3]DATA_NPA!$L$52</definedName>
    <definedName name="FHD_NUM_P_35" localSheetId="36">[3]DATA_NPA!$L$52</definedName>
    <definedName name="FHD_NUM_P_35" localSheetId="37">[3]DATA_NPA!$L$52</definedName>
    <definedName name="FHD_NUM_P_35">DATA_NPA!$L$52</definedName>
    <definedName name="FHD_NUM_P_36" localSheetId="38">[1]DATA_NPA!$L$53</definedName>
    <definedName name="FHD_NUM_P_36" localSheetId="39">[2]DATA_NPA!$L$53</definedName>
    <definedName name="FHD_NUM_P_36" localSheetId="40">[2]DATA_NPA!$L$53</definedName>
    <definedName name="FHD_NUM_P_36" localSheetId="1">[3]DATA_NPA!$L$53</definedName>
    <definedName name="FHD_NUM_P_36" localSheetId="36">[3]DATA_NPA!$L$53</definedName>
    <definedName name="FHD_NUM_P_36" localSheetId="37">[3]DATA_NPA!$L$53</definedName>
    <definedName name="FHD_NUM_P_36">DATA_NPA!$L$53</definedName>
    <definedName name="FHD_NUM_P_37" localSheetId="38">[1]DATA_NPA!$L$54</definedName>
    <definedName name="FHD_NUM_P_37" localSheetId="39">[2]DATA_NPA!$L$54</definedName>
    <definedName name="FHD_NUM_P_37" localSheetId="40">[2]DATA_NPA!$L$54</definedName>
    <definedName name="FHD_NUM_P_37" localSheetId="1">[3]DATA_NPA!$L$54</definedName>
    <definedName name="FHD_NUM_P_37" localSheetId="36">[3]DATA_NPA!$L$54</definedName>
    <definedName name="FHD_NUM_P_37" localSheetId="37">[3]DATA_NPA!$L$54</definedName>
    <definedName name="FHD_NUM_P_37">DATA_NPA!$L$54</definedName>
    <definedName name="FHD_NUM_P_38" localSheetId="38">[1]DATA_NPA!$L$55</definedName>
    <definedName name="FHD_NUM_P_38" localSheetId="39">[2]DATA_NPA!$L$55</definedName>
    <definedName name="FHD_NUM_P_38" localSheetId="40">[2]DATA_NPA!$L$55</definedName>
    <definedName name="FHD_NUM_P_38" localSheetId="1">[3]DATA_NPA!$L$55</definedName>
    <definedName name="FHD_NUM_P_38" localSheetId="36">[3]DATA_NPA!$L$55</definedName>
    <definedName name="FHD_NUM_P_38" localSheetId="37">[3]DATA_NPA!$L$55</definedName>
    <definedName name="FHD_NUM_P_38">DATA_NPA!$L$55</definedName>
    <definedName name="FHD_NUM_P_39" localSheetId="38">[1]DATA_NPA!$L$56</definedName>
    <definedName name="FHD_NUM_P_39" localSheetId="39">[2]DATA_NPA!$L$56</definedName>
    <definedName name="FHD_NUM_P_39" localSheetId="40">[2]DATA_NPA!$L$56</definedName>
    <definedName name="FHD_NUM_P_39" localSheetId="1">[3]DATA_NPA!$L$56</definedName>
    <definedName name="FHD_NUM_P_39" localSheetId="36">[3]DATA_NPA!$L$56</definedName>
    <definedName name="FHD_NUM_P_39" localSheetId="37">[3]DATA_NPA!$L$56</definedName>
    <definedName name="FHD_NUM_P_39">DATA_NPA!$L$56</definedName>
    <definedName name="FHD_NUM_P_4" localSheetId="38">[1]DATA_NPA!$L$21</definedName>
    <definedName name="FHD_NUM_P_4" localSheetId="39">[2]DATA_NPA!$L$21</definedName>
    <definedName name="FHD_NUM_P_4" localSheetId="40">[2]DATA_NPA!$L$21</definedName>
    <definedName name="FHD_NUM_P_4" localSheetId="1">[3]DATA_NPA!$L$21</definedName>
    <definedName name="FHD_NUM_P_4" localSheetId="36">[3]DATA_NPA!$L$21</definedName>
    <definedName name="FHD_NUM_P_4" localSheetId="37">[3]DATA_NPA!$L$21</definedName>
    <definedName name="FHD_NUM_P_4">DATA_NPA!$L$21</definedName>
    <definedName name="FHD_NUM_P_40" localSheetId="38">[1]DATA_NPA!$L$57</definedName>
    <definedName name="FHD_NUM_P_40" localSheetId="39">[2]DATA_NPA!$L$57</definedName>
    <definedName name="FHD_NUM_P_40" localSheetId="40">[2]DATA_NPA!$L$57</definedName>
    <definedName name="FHD_NUM_P_40" localSheetId="1">[3]DATA_NPA!$L$57</definedName>
    <definedName name="FHD_NUM_P_40" localSheetId="36">[3]DATA_NPA!$L$57</definedName>
    <definedName name="FHD_NUM_P_40" localSheetId="37">[3]DATA_NPA!$L$57</definedName>
    <definedName name="FHD_NUM_P_40">DATA_NPA!$L$57</definedName>
    <definedName name="FHD_NUM_P_41" localSheetId="38">[1]DATA_NPA!$L$58</definedName>
    <definedName name="FHD_NUM_P_41" localSheetId="39">[2]DATA_NPA!$L$58</definedName>
    <definedName name="FHD_NUM_P_41" localSheetId="40">[2]DATA_NPA!$L$58</definedName>
    <definedName name="FHD_NUM_P_41" localSheetId="1">[3]DATA_NPA!$L$58</definedName>
    <definedName name="FHD_NUM_P_41" localSheetId="36">[3]DATA_NPA!$L$58</definedName>
    <definedName name="FHD_NUM_P_41" localSheetId="37">[3]DATA_NPA!$L$58</definedName>
    <definedName name="FHD_NUM_P_41">DATA_NPA!$L$58</definedName>
    <definedName name="FHD_NUM_P_42" localSheetId="38">[1]DATA_NPA!$L$59</definedName>
    <definedName name="FHD_NUM_P_42" localSheetId="39">[2]DATA_NPA!$L$59</definedName>
    <definedName name="FHD_NUM_P_42" localSheetId="40">[2]DATA_NPA!$L$59</definedName>
    <definedName name="FHD_NUM_P_42" localSheetId="1">[3]DATA_NPA!$L$59</definedName>
    <definedName name="FHD_NUM_P_42" localSheetId="36">[3]DATA_NPA!$L$59</definedName>
    <definedName name="FHD_NUM_P_42" localSheetId="37">[3]DATA_NPA!$L$59</definedName>
    <definedName name="FHD_NUM_P_42">DATA_NPA!$L$59</definedName>
    <definedName name="FHD_NUM_P_43" localSheetId="38">[1]DATA_NPA!$L$60</definedName>
    <definedName name="FHD_NUM_P_43" localSheetId="39">[2]DATA_NPA!$L$60</definedName>
    <definedName name="FHD_NUM_P_43" localSheetId="40">[2]DATA_NPA!$L$60</definedName>
    <definedName name="FHD_NUM_P_43" localSheetId="1">[3]DATA_NPA!$L$60</definedName>
    <definedName name="FHD_NUM_P_43" localSheetId="36">[3]DATA_NPA!$L$60</definedName>
    <definedName name="FHD_NUM_P_43" localSheetId="37">[3]DATA_NPA!$L$60</definedName>
    <definedName name="FHD_NUM_P_43">DATA_NPA!$L$60</definedName>
    <definedName name="FHD_NUM_P_44" localSheetId="38">[1]DATA_NPA!$L$61</definedName>
    <definedName name="FHD_NUM_P_44" localSheetId="39">[2]DATA_NPA!$L$61</definedName>
    <definedName name="FHD_NUM_P_44" localSheetId="40">[2]DATA_NPA!$L$61</definedName>
    <definedName name="FHD_NUM_P_44" localSheetId="1">[3]DATA_NPA!$L$61</definedName>
    <definedName name="FHD_NUM_P_44" localSheetId="36">[3]DATA_NPA!$L$61</definedName>
    <definedName name="FHD_NUM_P_44" localSheetId="37">[3]DATA_NPA!$L$61</definedName>
    <definedName name="FHD_NUM_P_44">DATA_NPA!$L$61</definedName>
    <definedName name="FHD_NUM_P_45" localSheetId="38">[1]DATA_NPA!$L$62</definedName>
    <definedName name="FHD_NUM_P_45" localSheetId="39">[2]DATA_NPA!$L$62</definedName>
    <definedName name="FHD_NUM_P_45" localSheetId="40">[2]DATA_NPA!$L$62</definedName>
    <definedName name="FHD_NUM_P_45" localSheetId="1">[3]DATA_NPA!$L$62</definedName>
    <definedName name="FHD_NUM_P_45" localSheetId="36">[3]DATA_NPA!$L$62</definedName>
    <definedName name="FHD_NUM_P_45" localSheetId="37">[3]DATA_NPA!$L$62</definedName>
    <definedName name="FHD_NUM_P_45">DATA_NPA!$L$62</definedName>
    <definedName name="FHD_NUM_P_46" localSheetId="38">[1]DATA_NPA!$L$63</definedName>
    <definedName name="FHD_NUM_P_46" localSheetId="39">[2]DATA_NPA!$L$63</definedName>
    <definedName name="FHD_NUM_P_46" localSheetId="40">[2]DATA_NPA!$L$63</definedName>
    <definedName name="FHD_NUM_P_46" localSheetId="1">[3]DATA_NPA!$L$63</definedName>
    <definedName name="FHD_NUM_P_46" localSheetId="36">[3]DATA_NPA!$L$63</definedName>
    <definedName name="FHD_NUM_P_46" localSheetId="37">[3]DATA_NPA!$L$63</definedName>
    <definedName name="FHD_NUM_P_46">DATA_NPA!$L$63</definedName>
    <definedName name="FHD_NUM_P_47" localSheetId="38">[1]DATA_NPA!$L$64</definedName>
    <definedName name="FHD_NUM_P_47" localSheetId="39">[2]DATA_NPA!$L$64</definedName>
    <definedName name="FHD_NUM_P_47" localSheetId="40">[2]DATA_NPA!$L$64</definedName>
    <definedName name="FHD_NUM_P_47" localSheetId="1">[3]DATA_NPA!$L$64</definedName>
    <definedName name="FHD_NUM_P_47" localSheetId="36">[3]DATA_NPA!$L$64</definedName>
    <definedName name="FHD_NUM_P_47" localSheetId="37">[3]DATA_NPA!$L$64</definedName>
    <definedName name="FHD_NUM_P_47">DATA_NPA!$L$64</definedName>
    <definedName name="FHD_NUM_P_48" localSheetId="38">[1]DATA_NPA!$L$65</definedName>
    <definedName name="FHD_NUM_P_48" localSheetId="39">[2]DATA_NPA!$L$65</definedName>
    <definedName name="FHD_NUM_P_48" localSheetId="40">[2]DATA_NPA!$L$65</definedName>
    <definedName name="FHD_NUM_P_48" localSheetId="1">[3]DATA_NPA!$L$65</definedName>
    <definedName name="FHD_NUM_P_48" localSheetId="36">[3]DATA_NPA!$L$65</definedName>
    <definedName name="FHD_NUM_P_48" localSheetId="37">[3]DATA_NPA!$L$65</definedName>
    <definedName name="FHD_NUM_P_48">DATA_NPA!$L$65</definedName>
    <definedName name="FHD_NUM_P_49" localSheetId="38">[1]DATA_NPA!$L$66</definedName>
    <definedName name="FHD_NUM_P_49" localSheetId="39">[2]DATA_NPA!$L$66</definedName>
    <definedName name="FHD_NUM_P_49" localSheetId="40">[2]DATA_NPA!$L$66</definedName>
    <definedName name="FHD_NUM_P_49" localSheetId="1">[3]DATA_NPA!$L$66</definedName>
    <definedName name="FHD_NUM_P_49" localSheetId="36">[3]DATA_NPA!$L$66</definedName>
    <definedName name="FHD_NUM_P_49" localSheetId="37">[3]DATA_NPA!$L$66</definedName>
    <definedName name="FHD_NUM_P_49">DATA_NPA!$L$66</definedName>
    <definedName name="FHD_NUM_P_5" localSheetId="38">[1]DATA_NPA!$L$22</definedName>
    <definedName name="FHD_NUM_P_5" localSheetId="39">[2]DATA_NPA!$L$22</definedName>
    <definedName name="FHD_NUM_P_5" localSheetId="40">[2]DATA_NPA!$L$22</definedName>
    <definedName name="FHD_NUM_P_5" localSheetId="1">[3]DATA_NPA!$L$22</definedName>
    <definedName name="FHD_NUM_P_5" localSheetId="36">[3]DATA_NPA!$L$22</definedName>
    <definedName name="FHD_NUM_P_5" localSheetId="37">[3]DATA_NPA!$L$22</definedName>
    <definedName name="FHD_NUM_P_5">DATA_NPA!$L$22</definedName>
    <definedName name="FHD_NUM_P_50" localSheetId="38">[1]DATA_NPA!$L$67</definedName>
    <definedName name="FHD_NUM_P_50" localSheetId="39">[2]DATA_NPA!$L$67</definedName>
    <definedName name="FHD_NUM_P_50" localSheetId="40">[2]DATA_NPA!$L$67</definedName>
    <definedName name="FHD_NUM_P_50" localSheetId="1">[3]DATA_NPA!$L$67</definedName>
    <definedName name="FHD_NUM_P_50" localSheetId="36">[3]DATA_NPA!$L$67</definedName>
    <definedName name="FHD_NUM_P_50" localSheetId="37">[3]DATA_NPA!$L$67</definedName>
    <definedName name="FHD_NUM_P_50">DATA_NPA!$L$67</definedName>
    <definedName name="FHD_NUM_P_51" localSheetId="38">[1]DATA_NPA!$L$68</definedName>
    <definedName name="FHD_NUM_P_51" localSheetId="39">[2]DATA_NPA!$L$68</definedName>
    <definedName name="FHD_NUM_P_51" localSheetId="40">[2]DATA_NPA!$L$68</definedName>
    <definedName name="FHD_NUM_P_51" localSheetId="1">[3]DATA_NPA!$L$68</definedName>
    <definedName name="FHD_NUM_P_51" localSheetId="36">[3]DATA_NPA!$L$68</definedName>
    <definedName name="FHD_NUM_P_51" localSheetId="37">[3]DATA_NPA!$L$68</definedName>
    <definedName name="FHD_NUM_P_51">DATA_NPA!$L$68</definedName>
    <definedName name="FHD_NUM_P_52" localSheetId="38">[1]DATA_NPA!$L$69</definedName>
    <definedName name="FHD_NUM_P_52" localSheetId="39">[2]DATA_NPA!$L$69</definedName>
    <definedName name="FHD_NUM_P_52" localSheetId="40">[2]DATA_NPA!$L$69</definedName>
    <definedName name="FHD_NUM_P_52" localSheetId="1">[3]DATA_NPA!$L$69</definedName>
    <definedName name="FHD_NUM_P_52" localSheetId="36">[3]DATA_NPA!$L$69</definedName>
    <definedName name="FHD_NUM_P_52" localSheetId="37">[3]DATA_NPA!$L$69</definedName>
    <definedName name="FHD_NUM_P_52">DATA_NPA!$L$69</definedName>
    <definedName name="FHD_NUM_P_53" localSheetId="38">[1]DATA_NPA!$L$70</definedName>
    <definedName name="FHD_NUM_P_53" localSheetId="39">[2]DATA_NPA!$L$70</definedName>
    <definedName name="FHD_NUM_P_53" localSheetId="40">[2]DATA_NPA!$L$70</definedName>
    <definedName name="FHD_NUM_P_53" localSheetId="1">[3]DATA_NPA!$L$70</definedName>
    <definedName name="FHD_NUM_P_53" localSheetId="36">[3]DATA_NPA!$L$70</definedName>
    <definedName name="FHD_NUM_P_53" localSheetId="37">[3]DATA_NPA!$L$70</definedName>
    <definedName name="FHD_NUM_P_53">DATA_NPA!$L$70</definedName>
    <definedName name="FHD_NUM_P_54" localSheetId="38">[1]DATA_NPA!$L$71</definedName>
    <definedName name="FHD_NUM_P_54" localSheetId="39">[2]DATA_NPA!$L$71</definedName>
    <definedName name="FHD_NUM_P_54" localSheetId="40">[2]DATA_NPA!$L$71</definedName>
    <definedName name="FHD_NUM_P_54" localSheetId="1">[3]DATA_NPA!$L$71</definedName>
    <definedName name="FHD_NUM_P_54" localSheetId="36">[3]DATA_NPA!$L$71</definedName>
    <definedName name="FHD_NUM_P_54" localSheetId="37">[3]DATA_NPA!$L$71</definedName>
    <definedName name="FHD_NUM_P_54">DATA_NPA!$L$71</definedName>
    <definedName name="FHD_NUM_P_55" localSheetId="38">[1]DATA_NPA!$L$72</definedName>
    <definedName name="FHD_NUM_P_55" localSheetId="39">[2]DATA_NPA!$L$72</definedName>
    <definedName name="FHD_NUM_P_55" localSheetId="40">[2]DATA_NPA!$L$72</definedName>
    <definedName name="FHD_NUM_P_55" localSheetId="1">[3]DATA_NPA!$L$72</definedName>
    <definedName name="FHD_NUM_P_55" localSheetId="36">[3]DATA_NPA!$L$72</definedName>
    <definedName name="FHD_NUM_P_55" localSheetId="37">[3]DATA_NPA!$L$72</definedName>
    <definedName name="FHD_NUM_P_55">DATA_NPA!$L$72</definedName>
    <definedName name="FHD_NUM_P_56" localSheetId="38">[1]DATA_NPA!$L$73</definedName>
    <definedName name="FHD_NUM_P_56" localSheetId="39">[2]DATA_NPA!$L$73</definedName>
    <definedName name="FHD_NUM_P_56" localSheetId="40">[2]DATA_NPA!$L$73</definedName>
    <definedName name="FHD_NUM_P_56" localSheetId="1">[3]DATA_NPA!$L$73</definedName>
    <definedName name="FHD_NUM_P_56" localSheetId="36">[3]DATA_NPA!$L$73</definedName>
    <definedName name="FHD_NUM_P_56" localSheetId="37">[3]DATA_NPA!$L$73</definedName>
    <definedName name="FHD_NUM_P_56">DATA_NPA!$L$73</definedName>
    <definedName name="FHD_NUM_P_57" localSheetId="38">[1]DATA_NPA!$L$74</definedName>
    <definedName name="FHD_NUM_P_57" localSheetId="39">[2]DATA_NPA!$L$74</definedName>
    <definedName name="FHD_NUM_P_57" localSheetId="40">[2]DATA_NPA!$L$74</definedName>
    <definedName name="FHD_NUM_P_57" localSheetId="1">[3]DATA_NPA!$L$74</definedName>
    <definedName name="FHD_NUM_P_57" localSheetId="36">[3]DATA_NPA!$L$74</definedName>
    <definedName name="FHD_NUM_P_57" localSheetId="37">[3]DATA_NPA!$L$74</definedName>
    <definedName name="FHD_NUM_P_57">DATA_NPA!$L$74</definedName>
    <definedName name="FHD_NUM_P_58" localSheetId="38">[1]DATA_NPA!$L$75</definedName>
    <definedName name="FHD_NUM_P_58" localSheetId="39">[2]DATA_NPA!$L$75</definedName>
    <definedName name="FHD_NUM_P_58" localSheetId="40">[2]DATA_NPA!$L$75</definedName>
    <definedName name="FHD_NUM_P_58" localSheetId="1">[3]DATA_NPA!$L$75</definedName>
    <definedName name="FHD_NUM_P_58" localSheetId="36">[3]DATA_NPA!$L$75</definedName>
    <definedName name="FHD_NUM_P_58" localSheetId="37">[3]DATA_NPA!$L$75</definedName>
    <definedName name="FHD_NUM_P_58">DATA_NPA!$L$75</definedName>
    <definedName name="FHD_NUM_P_59" localSheetId="38">[1]DATA_NPA!$L$76</definedName>
    <definedName name="FHD_NUM_P_59" localSheetId="39">[2]DATA_NPA!$L$76</definedName>
    <definedName name="FHD_NUM_P_59" localSheetId="40">[2]DATA_NPA!$L$76</definedName>
    <definedName name="FHD_NUM_P_59" localSheetId="1">[3]DATA_NPA!$L$76</definedName>
    <definedName name="FHD_NUM_P_59" localSheetId="36">[3]DATA_NPA!$L$76</definedName>
    <definedName name="FHD_NUM_P_59" localSheetId="37">[3]DATA_NPA!$L$76</definedName>
    <definedName name="FHD_NUM_P_59">DATA_NPA!$L$76</definedName>
    <definedName name="FHD_NUM_P_6" localSheetId="38">[1]DATA_NPA!$L$23</definedName>
    <definedName name="FHD_NUM_P_6" localSheetId="39">[2]DATA_NPA!$L$23</definedName>
    <definedName name="FHD_NUM_P_6" localSheetId="40">[2]DATA_NPA!$L$23</definedName>
    <definedName name="FHD_NUM_P_6" localSheetId="1">[3]DATA_NPA!$L$23</definedName>
    <definedName name="FHD_NUM_P_6" localSheetId="36">[3]DATA_NPA!$L$23</definedName>
    <definedName name="FHD_NUM_P_6" localSheetId="37">[3]DATA_NPA!$L$23</definedName>
    <definedName name="FHD_NUM_P_6">DATA_NPA!$L$23</definedName>
    <definedName name="FHD_NUM_P_60" localSheetId="38">[1]DATA_NPA!$L$77</definedName>
    <definedName name="FHD_NUM_P_60" localSheetId="39">[2]DATA_NPA!$L$77</definedName>
    <definedName name="FHD_NUM_P_60" localSheetId="40">[2]DATA_NPA!$L$77</definedName>
    <definedName name="FHD_NUM_P_60" localSheetId="1">[3]DATA_NPA!$L$77</definedName>
    <definedName name="FHD_NUM_P_60" localSheetId="36">[3]DATA_NPA!$L$77</definedName>
    <definedName name="FHD_NUM_P_60" localSheetId="37">[3]DATA_NPA!$L$77</definedName>
    <definedName name="FHD_NUM_P_60">DATA_NPA!$L$77</definedName>
    <definedName name="FHD_NUM_P_61" localSheetId="38">[1]DATA_NPA!$L$78</definedName>
    <definedName name="FHD_NUM_P_61" localSheetId="39">[2]DATA_NPA!$L$78</definedName>
    <definedName name="FHD_NUM_P_61" localSheetId="40">[2]DATA_NPA!$L$78</definedName>
    <definedName name="FHD_NUM_P_61" localSheetId="1">[3]DATA_NPA!$L$78</definedName>
    <definedName name="FHD_NUM_P_61" localSheetId="36">[3]DATA_NPA!$L$78</definedName>
    <definedName name="FHD_NUM_P_61" localSheetId="37">[3]DATA_NPA!$L$78</definedName>
    <definedName name="FHD_NUM_P_61">DATA_NPA!$L$78</definedName>
    <definedName name="FHD_NUM_P_62" localSheetId="38">[1]DATA_NPA!$L$79</definedName>
    <definedName name="FHD_NUM_P_62" localSheetId="39">[2]DATA_NPA!$L$79</definedName>
    <definedName name="FHD_NUM_P_62" localSheetId="40">[2]DATA_NPA!$L$79</definedName>
    <definedName name="FHD_NUM_P_62" localSheetId="1">[3]DATA_NPA!$L$79</definedName>
    <definedName name="FHD_NUM_P_62" localSheetId="36">[3]DATA_NPA!$L$79</definedName>
    <definedName name="FHD_NUM_P_62" localSheetId="37">[3]DATA_NPA!$L$79</definedName>
    <definedName name="FHD_NUM_P_62">DATA_NPA!$L$79</definedName>
    <definedName name="FHD_NUM_P_63" localSheetId="38">[1]DATA_NPA!$L$80</definedName>
    <definedName name="FHD_NUM_P_63" localSheetId="39">[2]DATA_NPA!$L$80</definedName>
    <definedName name="FHD_NUM_P_63" localSheetId="40">[2]DATA_NPA!$L$80</definedName>
    <definedName name="FHD_NUM_P_63" localSheetId="1">[3]DATA_NPA!$L$80</definedName>
    <definedName name="FHD_NUM_P_63" localSheetId="36">[3]DATA_NPA!$L$80</definedName>
    <definedName name="FHD_NUM_P_63" localSheetId="37">[3]DATA_NPA!$L$80</definedName>
    <definedName name="FHD_NUM_P_63">DATA_NPA!$L$80</definedName>
    <definedName name="FHD_NUM_P_64" localSheetId="38">[1]DATA_NPA!$L$81</definedName>
    <definedName name="FHD_NUM_P_64" localSheetId="39">[2]DATA_NPA!$L$81</definedName>
    <definedName name="FHD_NUM_P_64" localSheetId="40">[2]DATA_NPA!$L$81</definedName>
    <definedName name="FHD_NUM_P_64" localSheetId="1">[3]DATA_NPA!$L$81</definedName>
    <definedName name="FHD_NUM_P_64" localSheetId="36">[3]DATA_NPA!$L$81</definedName>
    <definedName name="FHD_NUM_P_64" localSheetId="37">[3]DATA_NPA!$L$81</definedName>
    <definedName name="FHD_NUM_P_64">DATA_NPA!$L$81</definedName>
    <definedName name="FHD_NUM_P_65" localSheetId="38">[1]DATA_NPA!$L$82</definedName>
    <definedName name="FHD_NUM_P_65" localSheetId="39">[2]DATA_NPA!$L$82</definedName>
    <definedName name="FHD_NUM_P_65" localSheetId="40">[2]DATA_NPA!$L$82</definedName>
    <definedName name="FHD_NUM_P_65" localSheetId="1">[3]DATA_NPA!$L$82</definedName>
    <definedName name="FHD_NUM_P_65" localSheetId="36">[3]DATA_NPA!$L$82</definedName>
    <definedName name="FHD_NUM_P_65" localSheetId="37">[3]DATA_NPA!$L$82</definedName>
    <definedName name="FHD_NUM_P_65">DATA_NPA!$L$82</definedName>
    <definedName name="FHD_NUM_P_66" localSheetId="38">[1]DATA_NPA!$L$83</definedName>
    <definedName name="FHD_NUM_P_66" localSheetId="39">[2]DATA_NPA!$L$83</definedName>
    <definedName name="FHD_NUM_P_66" localSheetId="40">[2]DATA_NPA!$L$83</definedName>
    <definedName name="FHD_NUM_P_66" localSheetId="1">[3]DATA_NPA!$L$83</definedName>
    <definedName name="FHD_NUM_P_66" localSheetId="36">[3]DATA_NPA!$L$83</definedName>
    <definedName name="FHD_NUM_P_66" localSheetId="37">[3]DATA_NPA!$L$83</definedName>
    <definedName name="FHD_NUM_P_66">DATA_NPA!$L$83</definedName>
    <definedName name="FHD_NUM_P_67" localSheetId="38">[1]DATA_NPA!$L$84</definedName>
    <definedName name="FHD_NUM_P_67" localSheetId="39">[2]DATA_NPA!$L$84</definedName>
    <definedName name="FHD_NUM_P_67" localSheetId="40">[2]DATA_NPA!$L$84</definedName>
    <definedName name="FHD_NUM_P_67" localSheetId="1">[3]DATA_NPA!$L$84</definedName>
    <definedName name="FHD_NUM_P_67" localSheetId="36">[3]DATA_NPA!$L$84</definedName>
    <definedName name="FHD_NUM_P_67" localSheetId="37">[3]DATA_NPA!$L$84</definedName>
    <definedName name="FHD_NUM_P_67">DATA_NPA!$L$84</definedName>
    <definedName name="FHD_NUM_P_68" localSheetId="38">[1]DATA_NPA!$L$85</definedName>
    <definedName name="FHD_NUM_P_68" localSheetId="39">[2]DATA_NPA!$L$85</definedName>
    <definedName name="FHD_NUM_P_68" localSheetId="40">[2]DATA_NPA!$L$85</definedName>
    <definedName name="FHD_NUM_P_68" localSheetId="1">[3]DATA_NPA!$L$85</definedName>
    <definedName name="FHD_NUM_P_68" localSheetId="36">[3]DATA_NPA!$L$85</definedName>
    <definedName name="FHD_NUM_P_68" localSheetId="37">[3]DATA_NPA!$L$85</definedName>
    <definedName name="FHD_NUM_P_68">DATA_NPA!$L$85</definedName>
    <definedName name="FHD_NUM_P_69" localSheetId="38">[1]DATA_NPA!$L$86</definedName>
    <definedName name="FHD_NUM_P_69" localSheetId="39">[2]DATA_NPA!$L$86</definedName>
    <definedName name="FHD_NUM_P_69" localSheetId="40">[2]DATA_NPA!$L$86</definedName>
    <definedName name="FHD_NUM_P_69" localSheetId="1">[3]DATA_NPA!$L$86</definedName>
    <definedName name="FHD_NUM_P_69" localSheetId="36">[3]DATA_NPA!$L$86</definedName>
    <definedName name="FHD_NUM_P_69" localSheetId="37">[3]DATA_NPA!$L$86</definedName>
    <definedName name="FHD_NUM_P_69">DATA_NPA!$L$86</definedName>
    <definedName name="FHD_NUM_P_7" localSheetId="38">[1]DATA_NPA!$L$24</definedName>
    <definedName name="FHD_NUM_P_7" localSheetId="39">[2]DATA_NPA!$L$24</definedName>
    <definedName name="FHD_NUM_P_7" localSheetId="40">[2]DATA_NPA!$L$24</definedName>
    <definedName name="FHD_NUM_P_7" localSheetId="1">[3]DATA_NPA!$L$24</definedName>
    <definedName name="FHD_NUM_P_7" localSheetId="36">[3]DATA_NPA!$L$24</definedName>
    <definedName name="FHD_NUM_P_7" localSheetId="37">[3]DATA_NPA!$L$24</definedName>
    <definedName name="FHD_NUM_P_7">DATA_NPA!$L$24</definedName>
    <definedName name="FHD_NUM_P_70" localSheetId="38">[1]DATA_NPA!$L$87</definedName>
    <definedName name="FHD_NUM_P_70" localSheetId="39">[2]DATA_NPA!$L$87</definedName>
    <definedName name="FHD_NUM_P_70" localSheetId="40">[2]DATA_NPA!$L$87</definedName>
    <definedName name="FHD_NUM_P_70" localSheetId="1">[3]DATA_NPA!$L$87</definedName>
    <definedName name="FHD_NUM_P_70" localSheetId="36">[3]DATA_NPA!$L$87</definedName>
    <definedName name="FHD_NUM_P_70" localSheetId="37">[3]DATA_NPA!$L$87</definedName>
    <definedName name="FHD_NUM_P_70">DATA_NPA!$L$87</definedName>
    <definedName name="FHD_NUM_P_71" localSheetId="38">[1]DATA_NPA!$L$88</definedName>
    <definedName name="FHD_NUM_P_71" localSheetId="39">[2]DATA_NPA!$L$88</definedName>
    <definedName name="FHD_NUM_P_71" localSheetId="40">[2]DATA_NPA!$L$88</definedName>
    <definedName name="FHD_NUM_P_71" localSheetId="1">[3]DATA_NPA!$L$88</definedName>
    <definedName name="FHD_NUM_P_71" localSheetId="36">[3]DATA_NPA!$L$88</definedName>
    <definedName name="FHD_NUM_P_71" localSheetId="37">[3]DATA_NPA!$L$88</definedName>
    <definedName name="FHD_NUM_P_71">DATA_NPA!$L$88</definedName>
    <definedName name="FHD_NUM_P_72" localSheetId="38">[1]DATA_NPA!$L$89</definedName>
    <definedName name="FHD_NUM_P_72" localSheetId="39">[2]DATA_NPA!$L$89</definedName>
    <definedName name="FHD_NUM_P_72" localSheetId="40">[2]DATA_NPA!$L$89</definedName>
    <definedName name="FHD_NUM_P_72" localSheetId="1">[3]DATA_NPA!$L$89</definedName>
    <definedName name="FHD_NUM_P_72" localSheetId="36">[3]DATA_NPA!$L$89</definedName>
    <definedName name="FHD_NUM_P_72" localSheetId="37">[3]DATA_NPA!$L$89</definedName>
    <definedName name="FHD_NUM_P_72">DATA_NPA!$L$89</definedName>
    <definedName name="FHD_NUM_P_73" localSheetId="38">[1]DATA_NPA!$L$90</definedName>
    <definedName name="FHD_NUM_P_73" localSheetId="39">[2]DATA_NPA!$L$90</definedName>
    <definedName name="FHD_NUM_P_73" localSheetId="40">[2]DATA_NPA!$L$90</definedName>
    <definedName name="FHD_NUM_P_73" localSheetId="1">[3]DATA_NPA!$L$90</definedName>
    <definedName name="FHD_NUM_P_73" localSheetId="36">[3]DATA_NPA!$L$90</definedName>
    <definedName name="FHD_NUM_P_73" localSheetId="37">[3]DATA_NPA!$L$90</definedName>
    <definedName name="FHD_NUM_P_73">DATA_NPA!$L$90</definedName>
    <definedName name="FHD_NUM_P_74" localSheetId="38">[1]DATA_NPA!$L$91</definedName>
    <definedName name="FHD_NUM_P_74" localSheetId="39">[2]DATA_NPA!$L$91</definedName>
    <definedName name="FHD_NUM_P_74" localSheetId="40">[2]DATA_NPA!$L$91</definedName>
    <definedName name="FHD_NUM_P_74" localSheetId="1">[3]DATA_NPA!$L$91</definedName>
    <definedName name="FHD_NUM_P_74" localSheetId="36">[3]DATA_NPA!$L$91</definedName>
    <definedName name="FHD_NUM_P_74" localSheetId="37">[3]DATA_NPA!$L$91</definedName>
    <definedName name="FHD_NUM_P_74">DATA_NPA!$L$91</definedName>
    <definedName name="FHD_NUM_P_75" localSheetId="38">[1]DATA_NPA!$L$92</definedName>
    <definedName name="FHD_NUM_P_75" localSheetId="39">[2]DATA_NPA!$L$92</definedName>
    <definedName name="FHD_NUM_P_75" localSheetId="40">[2]DATA_NPA!$L$92</definedName>
    <definedName name="FHD_NUM_P_75" localSheetId="1">[3]DATA_NPA!$L$92</definedName>
    <definedName name="FHD_NUM_P_75" localSheetId="36">[3]DATA_NPA!$L$92</definedName>
    <definedName name="FHD_NUM_P_75" localSheetId="37">[3]DATA_NPA!$L$92</definedName>
    <definedName name="FHD_NUM_P_75">DATA_NPA!$L$92</definedName>
    <definedName name="FHD_NUM_P_76" localSheetId="38">[1]DATA_NPA!$L$93</definedName>
    <definedName name="FHD_NUM_P_76" localSheetId="39">[2]DATA_NPA!$L$93</definedName>
    <definedName name="FHD_NUM_P_76" localSheetId="40">[2]DATA_NPA!$L$93</definedName>
    <definedName name="FHD_NUM_P_76" localSheetId="1">[3]DATA_NPA!$L$93</definedName>
    <definedName name="FHD_NUM_P_76" localSheetId="36">[3]DATA_NPA!$L$93</definedName>
    <definedName name="FHD_NUM_P_76" localSheetId="37">[3]DATA_NPA!$L$93</definedName>
    <definedName name="FHD_NUM_P_76">DATA_NPA!$L$93</definedName>
    <definedName name="FHD_NUM_P_77" localSheetId="38">[1]DATA_NPA!$L$94</definedName>
    <definedName name="FHD_NUM_P_77" localSheetId="39">[2]DATA_NPA!$L$94</definedName>
    <definedName name="FHD_NUM_P_77" localSheetId="40">[2]DATA_NPA!$L$94</definedName>
    <definedName name="FHD_NUM_P_77" localSheetId="1">[3]DATA_NPA!$L$94</definedName>
    <definedName name="FHD_NUM_P_77" localSheetId="36">[3]DATA_NPA!$L$94</definedName>
    <definedName name="FHD_NUM_P_77" localSheetId="37">[3]DATA_NPA!$L$94</definedName>
    <definedName name="FHD_NUM_P_77">DATA_NPA!$L$94</definedName>
    <definedName name="FHD_NUM_P_78" localSheetId="38">[1]DATA_NPA!$L$95</definedName>
    <definedName name="FHD_NUM_P_78" localSheetId="39">[2]DATA_NPA!$L$95</definedName>
    <definedName name="FHD_NUM_P_78" localSheetId="40">[2]DATA_NPA!$L$95</definedName>
    <definedName name="FHD_NUM_P_78" localSheetId="1">[3]DATA_NPA!$L$95</definedName>
    <definedName name="FHD_NUM_P_78" localSheetId="36">[3]DATA_NPA!$L$95</definedName>
    <definedName name="FHD_NUM_P_78" localSheetId="37">[3]DATA_NPA!$L$95</definedName>
    <definedName name="FHD_NUM_P_78">DATA_NPA!$L$95</definedName>
    <definedName name="FHD_NUM_P_79" localSheetId="38">[1]DATA_NPA!$L$96</definedName>
    <definedName name="FHD_NUM_P_79" localSheetId="39">[2]DATA_NPA!$L$96</definedName>
    <definedName name="FHD_NUM_P_79" localSheetId="40">[2]DATA_NPA!$L$96</definedName>
    <definedName name="FHD_NUM_P_79" localSheetId="1">[3]DATA_NPA!$L$96</definedName>
    <definedName name="FHD_NUM_P_79" localSheetId="36">[3]DATA_NPA!$L$96</definedName>
    <definedName name="FHD_NUM_P_79" localSheetId="37">[3]DATA_NPA!$L$96</definedName>
    <definedName name="FHD_NUM_P_79">DATA_NPA!$L$96</definedName>
    <definedName name="FHD_NUM_P_8" localSheetId="38">[1]DATA_NPA!$L$25</definedName>
    <definedName name="FHD_NUM_P_8" localSheetId="39">[2]DATA_NPA!$L$25</definedName>
    <definedName name="FHD_NUM_P_8" localSheetId="40">[2]DATA_NPA!$L$25</definedName>
    <definedName name="FHD_NUM_P_8" localSheetId="1">[3]DATA_NPA!$L$25</definedName>
    <definedName name="FHD_NUM_P_8" localSheetId="36">[3]DATA_NPA!$L$25</definedName>
    <definedName name="FHD_NUM_P_8" localSheetId="37">[3]DATA_NPA!$L$25</definedName>
    <definedName name="FHD_NUM_P_8">DATA_NPA!$L$25</definedName>
    <definedName name="FHD_NUM_P_80" localSheetId="38">[1]DATA_NPA!$L$97</definedName>
    <definedName name="FHD_NUM_P_80" localSheetId="39">[2]DATA_NPA!$L$97</definedName>
    <definedName name="FHD_NUM_P_80" localSheetId="40">[2]DATA_NPA!$L$97</definedName>
    <definedName name="FHD_NUM_P_80" localSheetId="1">[3]DATA_NPA!$L$97</definedName>
    <definedName name="FHD_NUM_P_80" localSheetId="36">[3]DATA_NPA!$L$97</definedName>
    <definedName name="FHD_NUM_P_80" localSheetId="37">[3]DATA_NPA!$L$97</definedName>
    <definedName name="FHD_NUM_P_80">DATA_NPA!$L$97</definedName>
    <definedName name="FHD_NUM_P_81" localSheetId="38">[1]DATA_NPA!$L$98</definedName>
    <definedName name="FHD_NUM_P_81" localSheetId="39">[2]DATA_NPA!$L$98</definedName>
    <definedName name="FHD_NUM_P_81" localSheetId="40">[2]DATA_NPA!$L$98</definedName>
    <definedName name="FHD_NUM_P_81" localSheetId="1">[3]DATA_NPA!$L$98</definedName>
    <definedName name="FHD_NUM_P_81" localSheetId="36">[3]DATA_NPA!$L$98</definedName>
    <definedName name="FHD_NUM_P_81" localSheetId="37">[3]DATA_NPA!$L$98</definedName>
    <definedName name="FHD_NUM_P_81">DATA_NPA!$L$98</definedName>
    <definedName name="FHD_NUM_P_82" localSheetId="38">[1]DATA_NPA!$L$99</definedName>
    <definedName name="FHD_NUM_P_82" localSheetId="39">[2]DATA_NPA!$L$99</definedName>
    <definedName name="FHD_NUM_P_82" localSheetId="40">[2]DATA_NPA!$L$99</definedName>
    <definedName name="FHD_NUM_P_82" localSheetId="1">[3]DATA_NPA!$L$99</definedName>
    <definedName name="FHD_NUM_P_82" localSheetId="36">[3]DATA_NPA!$L$99</definedName>
    <definedName name="FHD_NUM_P_82" localSheetId="37">[3]DATA_NPA!$L$99</definedName>
    <definedName name="FHD_NUM_P_82">DATA_NPA!$L$99</definedName>
    <definedName name="FHD_NUM_P_83" localSheetId="38">[1]DATA_NPA!$L$100</definedName>
    <definedName name="FHD_NUM_P_83" localSheetId="39">[2]DATA_NPA!$L$100</definedName>
    <definedName name="FHD_NUM_P_83" localSheetId="40">[2]DATA_NPA!$L$100</definedName>
    <definedName name="FHD_NUM_P_83" localSheetId="1">[3]DATA_NPA!$L$100</definedName>
    <definedName name="FHD_NUM_P_83" localSheetId="36">[3]DATA_NPA!$L$100</definedName>
    <definedName name="FHD_NUM_P_83" localSheetId="37">[3]DATA_NPA!$L$100</definedName>
    <definedName name="FHD_NUM_P_83">DATA_NPA!$L$100</definedName>
    <definedName name="FHD_NUM_P_84" localSheetId="38">[1]DATA_NPA!$L$101</definedName>
    <definedName name="FHD_NUM_P_84" localSheetId="39">[2]DATA_NPA!$L$101</definedName>
    <definedName name="FHD_NUM_P_84" localSheetId="40">[2]DATA_NPA!$L$101</definedName>
    <definedName name="FHD_NUM_P_84" localSheetId="1">[3]DATA_NPA!$L$101</definedName>
    <definedName name="FHD_NUM_P_84" localSheetId="36">[3]DATA_NPA!$L$101</definedName>
    <definedName name="FHD_NUM_P_84" localSheetId="37">[3]DATA_NPA!$L$101</definedName>
    <definedName name="FHD_NUM_P_84">DATA_NPA!$L$101</definedName>
    <definedName name="FHD_NUM_P_9" localSheetId="38">[1]DATA_NPA!$L$26</definedName>
    <definedName name="FHD_NUM_P_9" localSheetId="39">[2]DATA_NPA!$L$26</definedName>
    <definedName name="FHD_NUM_P_9" localSheetId="40">[2]DATA_NPA!$L$26</definedName>
    <definedName name="FHD_NUM_P_9" localSheetId="1">[3]DATA_NPA!$L$26</definedName>
    <definedName name="FHD_NUM_P_9" localSheetId="36">[3]DATA_NPA!$L$26</definedName>
    <definedName name="FHD_NUM_P_9" localSheetId="37">[3]DATA_NPA!$L$26</definedName>
    <definedName name="FHD_NUM_P_9">DATA_NPA!$L$26</definedName>
    <definedName name="FHD_NUM_P_A">DATA_NPA!$L$18</definedName>
    <definedName name="FHD_P_1" localSheetId="38">[1]DATA_NPA!$M$18</definedName>
    <definedName name="FHD_P_1" localSheetId="39">[2]DATA_NPA!$M$18</definedName>
    <definedName name="FHD_P_1" localSheetId="40">[2]DATA_NPA!$M$18</definedName>
    <definedName name="FHD_P_1" localSheetId="1">[3]DATA_NPA!$M$18</definedName>
    <definedName name="FHD_P_1" localSheetId="36">[3]DATA_NPA!$M$18</definedName>
    <definedName name="FHD_P_1" localSheetId="37">[3]DATA_NPA!$M$18</definedName>
    <definedName name="FHD_P_1">DATA_NPA!$M$18</definedName>
    <definedName name="FHD_P_10" localSheetId="38">[1]DATA_NPA!$M$27</definedName>
    <definedName name="FHD_P_10" localSheetId="39">[2]DATA_NPA!$M$27</definedName>
    <definedName name="FHD_P_10" localSheetId="40">[2]DATA_NPA!$M$27</definedName>
    <definedName name="FHD_P_10" localSheetId="1">[3]DATA_NPA!$M$27</definedName>
    <definedName name="FHD_P_10" localSheetId="36">[3]DATA_NPA!$M$27</definedName>
    <definedName name="FHD_P_10" localSheetId="37">[3]DATA_NPA!$M$27</definedName>
    <definedName name="FHD_P_10">DATA_NPA!$M$27</definedName>
    <definedName name="FHD_P_11" localSheetId="38">[1]DATA_NPA!$M$28</definedName>
    <definedName name="FHD_P_11" localSheetId="39">[2]DATA_NPA!$M$28</definedName>
    <definedName name="FHD_P_11" localSheetId="40">[2]DATA_NPA!$M$28</definedName>
    <definedName name="FHD_P_11" localSheetId="1">[3]DATA_NPA!$M$28</definedName>
    <definedName name="FHD_P_11" localSheetId="36">[3]DATA_NPA!$M$28</definedName>
    <definedName name="FHD_P_11" localSheetId="37">[3]DATA_NPA!$M$28</definedName>
    <definedName name="FHD_P_11">DATA_NPA!$M$28</definedName>
    <definedName name="FHD_P_12" localSheetId="38">[1]DATA_NPA!$M$29</definedName>
    <definedName name="FHD_P_12" localSheetId="39">[2]DATA_NPA!$M$29</definedName>
    <definedName name="FHD_P_12" localSheetId="40">[2]DATA_NPA!$M$29</definedName>
    <definedName name="FHD_P_12" localSheetId="1">[3]DATA_NPA!$M$29</definedName>
    <definedName name="FHD_P_12" localSheetId="36">[3]DATA_NPA!$M$29</definedName>
    <definedName name="FHD_P_12" localSheetId="37">[3]DATA_NPA!$M$29</definedName>
    <definedName name="FHD_P_12">DATA_NPA!$M$29</definedName>
    <definedName name="FHD_P_13" localSheetId="38">[1]DATA_NPA!$M$30</definedName>
    <definedName name="FHD_P_13" localSheetId="39">[2]DATA_NPA!$M$30</definedName>
    <definedName name="FHD_P_13" localSheetId="40">[2]DATA_NPA!$M$30</definedName>
    <definedName name="FHD_P_13" localSheetId="1">[3]DATA_NPA!$M$30</definedName>
    <definedName name="FHD_P_13" localSheetId="36">[3]DATA_NPA!$M$30</definedName>
    <definedName name="FHD_P_13" localSheetId="37">[3]DATA_NPA!$M$30</definedName>
    <definedName name="FHD_P_13">DATA_NPA!$M$30</definedName>
    <definedName name="FHD_P_14" localSheetId="38">[1]DATA_NPA!$M$31</definedName>
    <definedName name="FHD_P_14" localSheetId="39">[2]DATA_NPA!$M$31</definedName>
    <definedName name="FHD_P_14" localSheetId="40">[2]DATA_NPA!$M$31</definedName>
    <definedName name="FHD_P_14" localSheetId="1">[3]DATA_NPA!$M$31</definedName>
    <definedName name="FHD_P_14" localSheetId="36">[3]DATA_NPA!$M$31</definedName>
    <definedName name="FHD_P_14" localSheetId="37">[3]DATA_NPA!$M$31</definedName>
    <definedName name="FHD_P_14">DATA_NPA!$M$31</definedName>
    <definedName name="FHD_P_15" localSheetId="38">[1]DATA_NPA!$M$32</definedName>
    <definedName name="FHD_P_15" localSheetId="39">[2]DATA_NPA!$M$32</definedName>
    <definedName name="FHD_P_15" localSheetId="40">[2]DATA_NPA!$M$32</definedName>
    <definedName name="FHD_P_15" localSheetId="1">[3]DATA_NPA!$M$32</definedName>
    <definedName name="FHD_P_15" localSheetId="36">[3]DATA_NPA!$M$32</definedName>
    <definedName name="FHD_P_15" localSheetId="37">[3]DATA_NPA!$M$32</definedName>
    <definedName name="FHD_P_15">DATA_NPA!$M$32</definedName>
    <definedName name="FHD_P_16" localSheetId="38">[1]DATA_NPA!$M$33</definedName>
    <definedName name="FHD_P_16" localSheetId="39">[2]DATA_NPA!$M$33</definedName>
    <definedName name="FHD_P_16" localSheetId="40">[2]DATA_NPA!$M$33</definedName>
    <definedName name="FHD_P_16" localSheetId="1">[3]DATA_NPA!$M$33</definedName>
    <definedName name="FHD_P_16" localSheetId="36">[3]DATA_NPA!$M$33</definedName>
    <definedName name="FHD_P_16" localSheetId="37">[3]DATA_NPA!$M$33</definedName>
    <definedName name="FHD_P_16">DATA_NPA!$M$33</definedName>
    <definedName name="FHD_P_17" localSheetId="38">[1]DATA_NPA!$M$34</definedName>
    <definedName name="FHD_P_17" localSheetId="39">[2]DATA_NPA!$M$34</definedName>
    <definedName name="FHD_P_17" localSheetId="40">[2]DATA_NPA!$M$34</definedName>
    <definedName name="FHD_P_17" localSheetId="1">[3]DATA_NPA!$M$34</definedName>
    <definedName name="FHD_P_17" localSheetId="36">[3]DATA_NPA!$M$34</definedName>
    <definedName name="FHD_P_17" localSheetId="37">[3]DATA_NPA!$M$34</definedName>
    <definedName name="FHD_P_17">DATA_NPA!$M$34</definedName>
    <definedName name="FHD_P_18" localSheetId="38">[1]DATA_NPA!$M$35</definedName>
    <definedName name="FHD_P_18" localSheetId="39">[2]DATA_NPA!$M$35</definedName>
    <definedName name="FHD_P_18" localSheetId="40">[2]DATA_NPA!$M$35</definedName>
    <definedName name="FHD_P_18" localSheetId="1">[3]DATA_NPA!$M$35</definedName>
    <definedName name="FHD_P_18" localSheetId="36">[3]DATA_NPA!$M$35</definedName>
    <definedName name="FHD_P_18" localSheetId="37">[3]DATA_NPA!$M$35</definedName>
    <definedName name="FHD_P_18">DATA_NPA!$M$35</definedName>
    <definedName name="FHD_P_19" localSheetId="38">[1]DATA_NPA!$M$36</definedName>
    <definedName name="FHD_P_19" localSheetId="39">[2]DATA_NPA!$M$36</definedName>
    <definedName name="FHD_P_19" localSheetId="40">[2]DATA_NPA!$M$36</definedName>
    <definedName name="FHD_P_19" localSheetId="1">[3]DATA_NPA!$M$36</definedName>
    <definedName name="FHD_P_19" localSheetId="36">[3]DATA_NPA!$M$36</definedName>
    <definedName name="FHD_P_19" localSheetId="37">[3]DATA_NPA!$M$36</definedName>
    <definedName name="FHD_P_19">DATA_NPA!$M$36</definedName>
    <definedName name="FHD_P_2" localSheetId="38">[1]DATA_NPA!$M$19</definedName>
    <definedName name="FHD_P_2" localSheetId="39">[2]DATA_NPA!$M$19</definedName>
    <definedName name="FHD_P_2" localSheetId="40">[2]DATA_NPA!$M$19</definedName>
    <definedName name="FHD_P_2" localSheetId="1">[3]DATA_NPA!$M$19</definedName>
    <definedName name="FHD_P_2" localSheetId="36">[3]DATA_NPA!$M$19</definedName>
    <definedName name="FHD_P_2" localSheetId="37">[3]DATA_NPA!$M$19</definedName>
    <definedName name="FHD_P_2">DATA_NPA!$M$19</definedName>
    <definedName name="FHD_P_20" localSheetId="38">[1]DATA_NPA!$M$37</definedName>
    <definedName name="FHD_P_20" localSheetId="39">[2]DATA_NPA!$M$37</definedName>
    <definedName name="FHD_P_20" localSheetId="40">[2]DATA_NPA!$M$37</definedName>
    <definedName name="FHD_P_20" localSheetId="1">[3]DATA_NPA!$M$37</definedName>
    <definedName name="FHD_P_20" localSheetId="36">[3]DATA_NPA!$M$37</definedName>
    <definedName name="FHD_P_20" localSheetId="37">[3]DATA_NPA!$M$37</definedName>
    <definedName name="FHD_P_20">DATA_NPA!$M$37</definedName>
    <definedName name="FHD_P_21" localSheetId="38">[1]DATA_NPA!$M$38</definedName>
    <definedName name="FHD_P_21" localSheetId="39">[2]DATA_NPA!$M$38</definedName>
    <definedName name="FHD_P_21" localSheetId="40">[2]DATA_NPA!$M$38</definedName>
    <definedName name="FHD_P_21" localSheetId="1">[3]DATA_NPA!$M$38</definedName>
    <definedName name="FHD_P_21" localSheetId="36">[3]DATA_NPA!$M$38</definedName>
    <definedName name="FHD_P_21" localSheetId="37">[3]DATA_NPA!$M$38</definedName>
    <definedName name="FHD_P_21">DATA_NPA!$M$38</definedName>
    <definedName name="FHD_P_22" localSheetId="38">[1]DATA_NPA!$M$39</definedName>
    <definedName name="FHD_P_22" localSheetId="39">[2]DATA_NPA!$M$39</definedName>
    <definedName name="FHD_P_22" localSheetId="40">[2]DATA_NPA!$M$39</definedName>
    <definedName name="FHD_P_22" localSheetId="1">[3]DATA_NPA!$M$39</definedName>
    <definedName name="FHD_P_22" localSheetId="36">[3]DATA_NPA!$M$39</definedName>
    <definedName name="FHD_P_22" localSheetId="37">[3]DATA_NPA!$M$39</definedName>
    <definedName name="FHD_P_22">DATA_NPA!$M$39</definedName>
    <definedName name="FHD_P_23" localSheetId="38">[1]DATA_NPA!$M$40</definedName>
    <definedName name="FHD_P_23" localSheetId="39">[2]DATA_NPA!$M$40</definedName>
    <definedName name="FHD_P_23" localSheetId="40">[2]DATA_NPA!$M$40</definedName>
    <definedName name="FHD_P_23" localSheetId="1">[3]DATA_NPA!$M$40</definedName>
    <definedName name="FHD_P_23" localSheetId="36">[3]DATA_NPA!$M$40</definedName>
    <definedName name="FHD_P_23" localSheetId="37">[3]DATA_NPA!$M$40</definedName>
    <definedName name="FHD_P_23">DATA_NPA!$M$40</definedName>
    <definedName name="FHD_P_24" localSheetId="38">[1]DATA_NPA!$M$41</definedName>
    <definedName name="FHD_P_24" localSheetId="39">[2]DATA_NPA!$M$41</definedName>
    <definedName name="FHD_P_24" localSheetId="40">[2]DATA_NPA!$M$41</definedName>
    <definedName name="FHD_P_24" localSheetId="1">[3]DATA_NPA!$M$41</definedName>
    <definedName name="FHD_P_24" localSheetId="36">[3]DATA_NPA!$M$41</definedName>
    <definedName name="FHD_P_24" localSheetId="37">[3]DATA_NPA!$M$41</definedName>
    <definedName name="FHD_P_24">DATA_NPA!$M$41</definedName>
    <definedName name="FHD_P_25" localSheetId="38">[1]DATA_NPA!$M$42</definedName>
    <definedName name="FHD_P_25" localSheetId="39">[2]DATA_NPA!$M$42</definedName>
    <definedName name="FHD_P_25" localSheetId="40">[2]DATA_NPA!$M$42</definedName>
    <definedName name="FHD_P_25" localSheetId="1">[3]DATA_NPA!$M$42</definedName>
    <definedName name="FHD_P_25" localSheetId="36">[3]DATA_NPA!$M$42</definedName>
    <definedName name="FHD_P_25" localSheetId="37">[3]DATA_NPA!$M$42</definedName>
    <definedName name="FHD_P_25">DATA_NPA!$M$42</definedName>
    <definedName name="FHD_P_26" localSheetId="38">[1]DATA_NPA!$M$43</definedName>
    <definedName name="FHD_P_26" localSheetId="39">[2]DATA_NPA!$M$43</definedName>
    <definedName name="FHD_P_26" localSheetId="40">[2]DATA_NPA!$M$43</definedName>
    <definedName name="FHD_P_26" localSheetId="1">[3]DATA_NPA!$M$43</definedName>
    <definedName name="FHD_P_26" localSheetId="36">[3]DATA_NPA!$M$43</definedName>
    <definedName name="FHD_P_26" localSheetId="37">[3]DATA_NPA!$M$43</definedName>
    <definedName name="FHD_P_26">DATA_NPA!$M$43</definedName>
    <definedName name="FHD_P_27" localSheetId="38">[1]DATA_NPA!$M$44</definedName>
    <definedName name="FHD_P_27" localSheetId="39">[2]DATA_NPA!$M$44</definedName>
    <definedName name="FHD_P_27" localSheetId="40">[2]DATA_NPA!$M$44</definedName>
    <definedName name="FHD_P_27" localSheetId="1">[3]DATA_NPA!$M$44</definedName>
    <definedName name="FHD_P_27" localSheetId="36">[3]DATA_NPA!$M$44</definedName>
    <definedName name="FHD_P_27" localSheetId="37">[3]DATA_NPA!$M$44</definedName>
    <definedName name="FHD_P_27">DATA_NPA!$M$44</definedName>
    <definedName name="FHD_P_28" localSheetId="38">[1]DATA_NPA!$M$45</definedName>
    <definedName name="FHD_P_28" localSheetId="39">[2]DATA_NPA!$M$45</definedName>
    <definedName name="FHD_P_28" localSheetId="40">[2]DATA_NPA!$M$45</definedName>
    <definedName name="FHD_P_28" localSheetId="1">[3]DATA_NPA!$M$45</definedName>
    <definedName name="FHD_P_28" localSheetId="36">[3]DATA_NPA!$M$45</definedName>
    <definedName name="FHD_P_28" localSheetId="37">[3]DATA_NPA!$M$45</definedName>
    <definedName name="FHD_P_28">DATA_NPA!$M$45</definedName>
    <definedName name="FHD_P_29" localSheetId="38">[1]DATA_NPA!$M$46</definedName>
    <definedName name="FHD_P_29" localSheetId="39">[2]DATA_NPA!$M$46</definedName>
    <definedName name="FHD_P_29" localSheetId="40">[2]DATA_NPA!$M$46</definedName>
    <definedName name="FHD_P_29" localSheetId="1">[3]DATA_NPA!$M$46</definedName>
    <definedName name="FHD_P_29" localSheetId="36">[3]DATA_NPA!$M$46</definedName>
    <definedName name="FHD_P_29" localSheetId="37">[3]DATA_NPA!$M$46</definedName>
    <definedName name="FHD_P_29">DATA_NPA!$M$46</definedName>
    <definedName name="FHD_P_3" localSheetId="38">[1]DATA_NPA!$M$20</definedName>
    <definedName name="FHD_P_3" localSheetId="39">[2]DATA_NPA!$M$20</definedName>
    <definedName name="FHD_P_3" localSheetId="40">[2]DATA_NPA!$M$20</definedName>
    <definedName name="FHD_P_3" localSheetId="1">[3]DATA_NPA!$M$20</definedName>
    <definedName name="FHD_P_3" localSheetId="36">[3]DATA_NPA!$M$20</definedName>
    <definedName name="FHD_P_3" localSheetId="37">[3]DATA_NPA!$M$20</definedName>
    <definedName name="FHD_P_3">DATA_NPA!$M$20</definedName>
    <definedName name="FHD_P_30" localSheetId="38">[1]DATA_NPA!$M$47</definedName>
    <definedName name="FHD_P_30" localSheetId="39">[2]DATA_NPA!$M$47</definedName>
    <definedName name="FHD_P_30" localSheetId="40">[2]DATA_NPA!$M$47</definedName>
    <definedName name="FHD_P_30" localSheetId="1">[3]DATA_NPA!$M$47</definedName>
    <definedName name="FHD_P_30" localSheetId="36">[3]DATA_NPA!$M$47</definedName>
    <definedName name="FHD_P_30" localSheetId="37">[3]DATA_NPA!$M$47</definedName>
    <definedName name="FHD_P_30">DATA_NPA!$M$47</definedName>
    <definedName name="FHD_P_31" localSheetId="38">[1]DATA_NPA!$M$48</definedName>
    <definedName name="FHD_P_31" localSheetId="39">[2]DATA_NPA!$M$48</definedName>
    <definedName name="FHD_P_31" localSheetId="40">[2]DATA_NPA!$M$48</definedName>
    <definedName name="FHD_P_31" localSheetId="1">[3]DATA_NPA!$M$48</definedName>
    <definedName name="FHD_P_31" localSheetId="36">[3]DATA_NPA!$M$48</definedName>
    <definedName name="FHD_P_31" localSheetId="37">[3]DATA_NPA!$M$48</definedName>
    <definedName name="FHD_P_31">DATA_NPA!$M$48</definedName>
    <definedName name="FHD_P_32" localSheetId="38">[1]DATA_NPA!$M$49</definedName>
    <definedName name="FHD_P_32" localSheetId="39">[2]DATA_NPA!$M$49</definedName>
    <definedName name="FHD_P_32" localSheetId="40">[2]DATA_NPA!$M$49</definedName>
    <definedName name="FHD_P_32" localSheetId="1">[3]DATA_NPA!$M$49</definedName>
    <definedName name="FHD_P_32" localSheetId="36">[3]DATA_NPA!$M$49</definedName>
    <definedName name="FHD_P_32" localSheetId="37">[3]DATA_NPA!$M$49</definedName>
    <definedName name="FHD_P_32">DATA_NPA!$M$49</definedName>
    <definedName name="FHD_P_33" localSheetId="38">[1]DATA_NPA!$M$50</definedName>
    <definedName name="FHD_P_33" localSheetId="39">[2]DATA_NPA!$M$50</definedName>
    <definedName name="FHD_P_33" localSheetId="40">[2]DATA_NPA!$M$50</definedName>
    <definedName name="FHD_P_33" localSheetId="1">[3]DATA_NPA!$M$50</definedName>
    <definedName name="FHD_P_33" localSheetId="36">[3]DATA_NPA!$M$50</definedName>
    <definedName name="FHD_P_33" localSheetId="37">[3]DATA_NPA!$M$50</definedName>
    <definedName name="FHD_P_33">DATA_NPA!$M$50</definedName>
    <definedName name="FHD_P_34" localSheetId="38">[1]DATA_NPA!$M$51</definedName>
    <definedName name="FHD_P_34" localSheetId="39">[2]DATA_NPA!$M$51</definedName>
    <definedName name="FHD_P_34" localSheetId="40">[2]DATA_NPA!$M$51</definedName>
    <definedName name="FHD_P_34" localSheetId="1">[3]DATA_NPA!$M$51</definedName>
    <definedName name="FHD_P_34" localSheetId="36">[3]DATA_NPA!$M$51</definedName>
    <definedName name="FHD_P_34" localSheetId="37">[3]DATA_NPA!$M$51</definedName>
    <definedName name="FHD_P_34">DATA_NPA!$M$51</definedName>
    <definedName name="FHD_P_35" localSheetId="38">[1]DATA_NPA!$M$52</definedName>
    <definedName name="FHD_P_35" localSheetId="39">[2]DATA_NPA!$M$52</definedName>
    <definedName name="FHD_P_35" localSheetId="40">[2]DATA_NPA!$M$52</definedName>
    <definedName name="FHD_P_35" localSheetId="1">[3]DATA_NPA!$M$52</definedName>
    <definedName name="FHD_P_35" localSheetId="36">[3]DATA_NPA!$M$52</definedName>
    <definedName name="FHD_P_35" localSheetId="37">[3]DATA_NPA!$M$52</definedName>
    <definedName name="FHD_P_35">DATA_NPA!$M$52</definedName>
    <definedName name="FHD_P_36" localSheetId="38">[1]DATA_NPA!$M$53</definedName>
    <definedName name="FHD_P_36" localSheetId="39">[2]DATA_NPA!$M$53</definedName>
    <definedName name="FHD_P_36" localSheetId="40">[2]DATA_NPA!$M$53</definedName>
    <definedName name="FHD_P_36" localSheetId="1">[3]DATA_NPA!$M$53</definedName>
    <definedName name="FHD_P_36" localSheetId="36">[3]DATA_NPA!$M$53</definedName>
    <definedName name="FHD_P_36" localSheetId="37">[3]DATA_NPA!$M$53</definedName>
    <definedName name="FHD_P_36">DATA_NPA!$M$53</definedName>
    <definedName name="FHD_P_37" localSheetId="38">[1]DATA_NPA!$M$54</definedName>
    <definedName name="FHD_P_37" localSheetId="39">[2]DATA_NPA!$M$54</definedName>
    <definedName name="FHD_P_37" localSheetId="40">[2]DATA_NPA!$M$54</definedName>
    <definedName name="FHD_P_37" localSheetId="1">[3]DATA_NPA!$M$54</definedName>
    <definedName name="FHD_P_37" localSheetId="36">[3]DATA_NPA!$M$54</definedName>
    <definedName name="FHD_P_37" localSheetId="37">[3]DATA_NPA!$M$54</definedName>
    <definedName name="FHD_P_37">DATA_NPA!$M$54</definedName>
    <definedName name="FHD_P_38" localSheetId="38">[1]DATA_NPA!$M$55</definedName>
    <definedName name="FHD_P_38" localSheetId="39">[2]DATA_NPA!$M$55</definedName>
    <definedName name="FHD_P_38" localSheetId="40">[2]DATA_NPA!$M$55</definedName>
    <definedName name="FHD_P_38" localSheetId="1">[3]DATA_NPA!$M$55</definedName>
    <definedName name="FHD_P_38" localSheetId="36">[3]DATA_NPA!$M$55</definedName>
    <definedName name="FHD_P_38" localSheetId="37">[3]DATA_NPA!$M$55</definedName>
    <definedName name="FHD_P_38">DATA_NPA!$M$55</definedName>
    <definedName name="FHD_P_39" localSheetId="38">[1]DATA_NPA!$M$56</definedName>
    <definedName name="FHD_P_39" localSheetId="39">[2]DATA_NPA!$M$56</definedName>
    <definedName name="FHD_P_39" localSheetId="40">[2]DATA_NPA!$M$56</definedName>
    <definedName name="FHD_P_39" localSheetId="1">[3]DATA_NPA!$M$56</definedName>
    <definedName name="FHD_P_39" localSheetId="36">[3]DATA_NPA!$M$56</definedName>
    <definedName name="FHD_P_39" localSheetId="37">[3]DATA_NPA!$M$56</definedName>
    <definedName name="FHD_P_39">DATA_NPA!$M$56</definedName>
    <definedName name="FHD_P_4" localSheetId="38">[1]DATA_NPA!$M$21</definedName>
    <definedName name="FHD_P_4" localSheetId="39">[2]DATA_NPA!$M$21</definedName>
    <definedName name="FHD_P_4" localSheetId="40">[2]DATA_NPA!$M$21</definedName>
    <definedName name="FHD_P_4" localSheetId="1">[3]DATA_NPA!$M$21</definedName>
    <definedName name="FHD_P_4" localSheetId="36">[3]DATA_NPA!$M$21</definedName>
    <definedName name="FHD_P_4" localSheetId="37">[3]DATA_NPA!$M$21</definedName>
    <definedName name="FHD_P_4">DATA_NPA!$M$21</definedName>
    <definedName name="FHD_P_40" localSheetId="38">[1]DATA_NPA!$M$57</definedName>
    <definedName name="FHD_P_40" localSheetId="39">[2]DATA_NPA!$M$57</definedName>
    <definedName name="FHD_P_40" localSheetId="40">[2]DATA_NPA!$M$57</definedName>
    <definedName name="FHD_P_40" localSheetId="1">[3]DATA_NPA!$M$57</definedName>
    <definedName name="FHD_P_40" localSheetId="36">[3]DATA_NPA!$M$57</definedName>
    <definedName name="FHD_P_40" localSheetId="37">[3]DATA_NPA!$M$57</definedName>
    <definedName name="FHD_P_40">DATA_NPA!$M$57</definedName>
    <definedName name="FHD_P_41" localSheetId="38">[1]DATA_NPA!$M$58</definedName>
    <definedName name="FHD_P_41" localSheetId="39">[2]DATA_NPA!$M$58</definedName>
    <definedName name="FHD_P_41" localSheetId="40">[2]DATA_NPA!$M$58</definedName>
    <definedName name="FHD_P_41" localSheetId="1">[3]DATA_NPA!$M$58</definedName>
    <definedName name="FHD_P_41" localSheetId="36">[3]DATA_NPA!$M$58</definedName>
    <definedName name="FHD_P_41" localSheetId="37">[3]DATA_NPA!$M$58</definedName>
    <definedName name="FHD_P_41">DATA_NPA!$M$58</definedName>
    <definedName name="FHD_P_42" localSheetId="38">[1]DATA_NPA!$M$59</definedName>
    <definedName name="FHD_P_42" localSheetId="39">[2]DATA_NPA!$M$59</definedName>
    <definedName name="FHD_P_42" localSheetId="40">[2]DATA_NPA!$M$59</definedName>
    <definedName name="FHD_P_42" localSheetId="1">[3]DATA_NPA!$M$59</definedName>
    <definedName name="FHD_P_42" localSheetId="36">[3]DATA_NPA!$M$59</definedName>
    <definedName name="FHD_P_42" localSheetId="37">[3]DATA_NPA!$M$59</definedName>
    <definedName name="FHD_P_42">DATA_NPA!$M$59</definedName>
    <definedName name="FHD_P_43" localSheetId="38">[1]DATA_NPA!$M$60</definedName>
    <definedName name="FHD_P_43" localSheetId="39">[2]DATA_NPA!$M$60</definedName>
    <definedName name="FHD_P_43" localSheetId="40">[2]DATA_NPA!$M$60</definedName>
    <definedName name="FHD_P_43" localSheetId="1">[3]DATA_NPA!$M$60</definedName>
    <definedName name="FHD_P_43" localSheetId="36">[3]DATA_NPA!$M$60</definedName>
    <definedName name="FHD_P_43" localSheetId="37">[3]DATA_NPA!$M$60</definedName>
    <definedName name="FHD_P_43">DATA_NPA!$M$60</definedName>
    <definedName name="FHD_P_44" localSheetId="38">[1]DATA_NPA!$M$61</definedName>
    <definedName name="FHD_P_44" localSheetId="39">[2]DATA_NPA!$M$61</definedName>
    <definedName name="FHD_P_44" localSheetId="40">[2]DATA_NPA!$M$61</definedName>
    <definedName name="FHD_P_44" localSheetId="1">[3]DATA_NPA!$M$61</definedName>
    <definedName name="FHD_P_44" localSheetId="36">[3]DATA_NPA!$M$61</definedName>
    <definedName name="FHD_P_44" localSheetId="37">[3]DATA_NPA!$M$61</definedName>
    <definedName name="FHD_P_44">DATA_NPA!$M$61</definedName>
    <definedName name="FHD_P_45" localSheetId="38">[1]DATA_NPA!$M$62</definedName>
    <definedName name="FHD_P_45" localSheetId="39">[2]DATA_NPA!$M$62</definedName>
    <definedName name="FHD_P_45" localSheetId="40">[2]DATA_NPA!$M$62</definedName>
    <definedName name="FHD_P_45" localSheetId="1">[3]DATA_NPA!$M$62</definedName>
    <definedName name="FHD_P_45" localSheetId="36">[3]DATA_NPA!$M$62</definedName>
    <definedName name="FHD_P_45" localSheetId="37">[3]DATA_NPA!$M$62</definedName>
    <definedName name="FHD_P_45">DATA_NPA!$M$62</definedName>
    <definedName name="FHD_P_46" localSheetId="38">[1]DATA_NPA!$M$63</definedName>
    <definedName name="FHD_P_46" localSheetId="39">[2]DATA_NPA!$M$63</definedName>
    <definedName name="FHD_P_46" localSheetId="40">[2]DATA_NPA!$M$63</definedName>
    <definedName name="FHD_P_46" localSheetId="1">[3]DATA_NPA!$M$63</definedName>
    <definedName name="FHD_P_46" localSheetId="36">[3]DATA_NPA!$M$63</definedName>
    <definedName name="FHD_P_46" localSheetId="37">[3]DATA_NPA!$M$63</definedName>
    <definedName name="FHD_P_46">DATA_NPA!$M$63</definedName>
    <definedName name="FHD_P_47" localSheetId="38">[1]DATA_NPA!$M$64</definedName>
    <definedName name="FHD_P_47" localSheetId="39">[2]DATA_NPA!$M$64</definedName>
    <definedName name="FHD_P_47" localSheetId="40">[2]DATA_NPA!$M$64</definedName>
    <definedName name="FHD_P_47" localSheetId="1">[3]DATA_NPA!$M$64</definedName>
    <definedName name="FHD_P_47" localSheetId="36">[3]DATA_NPA!$M$64</definedName>
    <definedName name="FHD_P_47" localSheetId="37">[3]DATA_NPA!$M$64</definedName>
    <definedName name="FHD_P_47">DATA_NPA!$M$64</definedName>
    <definedName name="FHD_P_48" localSheetId="38">[1]DATA_NPA!$M$65</definedName>
    <definedName name="FHD_P_48" localSheetId="39">[2]DATA_NPA!$M$65</definedName>
    <definedName name="FHD_P_48" localSheetId="40">[2]DATA_NPA!$M$65</definedName>
    <definedName name="FHD_P_48" localSheetId="1">[3]DATA_NPA!$M$65</definedName>
    <definedName name="FHD_P_48" localSheetId="36">[3]DATA_NPA!$M$65</definedName>
    <definedName name="FHD_P_48" localSheetId="37">[3]DATA_NPA!$M$65</definedName>
    <definedName name="FHD_P_48">DATA_NPA!$M$65</definedName>
    <definedName name="FHD_P_49" localSheetId="38">[1]DATA_NPA!$M$66</definedName>
    <definedName name="FHD_P_49" localSheetId="39">[2]DATA_NPA!$M$66</definedName>
    <definedName name="FHD_P_49" localSheetId="40">[2]DATA_NPA!$M$66</definedName>
    <definedName name="FHD_P_49" localSheetId="1">[3]DATA_NPA!$M$66</definedName>
    <definedName name="FHD_P_49" localSheetId="36">[3]DATA_NPA!$M$66</definedName>
    <definedName name="FHD_P_49" localSheetId="37">[3]DATA_NPA!$M$66</definedName>
    <definedName name="FHD_P_49">DATA_NPA!$M$66</definedName>
    <definedName name="FHD_P_5" localSheetId="38">[1]DATA_NPA!$M$22</definedName>
    <definedName name="FHD_P_5" localSheetId="39">[2]DATA_NPA!$M$22</definedName>
    <definedName name="FHD_P_5" localSheetId="40">[2]DATA_NPA!$M$22</definedName>
    <definedName name="FHD_P_5" localSheetId="1">[3]DATA_NPA!$M$22</definedName>
    <definedName name="FHD_P_5" localSheetId="36">[3]DATA_NPA!$M$22</definedName>
    <definedName name="FHD_P_5" localSheetId="37">[3]DATA_NPA!$M$22</definedName>
    <definedName name="FHD_P_5">DATA_NPA!$M$22</definedName>
    <definedName name="FHD_P_50" localSheetId="38">[1]DATA_NPA!$M$67</definedName>
    <definedName name="FHD_P_50" localSheetId="39">[2]DATA_NPA!$M$67</definedName>
    <definedName name="FHD_P_50" localSheetId="40">[2]DATA_NPA!$M$67</definedName>
    <definedName name="FHD_P_50" localSheetId="1">[3]DATA_NPA!$M$67</definedName>
    <definedName name="FHD_P_50" localSheetId="36">[3]DATA_NPA!$M$67</definedName>
    <definedName name="FHD_P_50" localSheetId="37">[3]DATA_NPA!$M$67</definedName>
    <definedName name="FHD_P_50">DATA_NPA!$M$67</definedName>
    <definedName name="FHD_P_51" localSheetId="38">[1]DATA_NPA!$M$68</definedName>
    <definedName name="FHD_P_51" localSheetId="39">[2]DATA_NPA!$M$68</definedName>
    <definedName name="FHD_P_51" localSheetId="40">[2]DATA_NPA!$M$68</definedName>
    <definedName name="FHD_P_51" localSheetId="1">[3]DATA_NPA!$M$68</definedName>
    <definedName name="FHD_P_51" localSheetId="36">[3]DATA_NPA!$M$68</definedName>
    <definedName name="FHD_P_51" localSheetId="37">[3]DATA_NPA!$M$68</definedName>
    <definedName name="FHD_P_51">DATA_NPA!$M$68</definedName>
    <definedName name="FHD_P_52" localSheetId="38">[1]DATA_NPA!$M$69</definedName>
    <definedName name="FHD_P_52" localSheetId="39">[2]DATA_NPA!$M$69</definedName>
    <definedName name="FHD_P_52" localSheetId="40">[2]DATA_NPA!$M$69</definedName>
    <definedName name="FHD_P_52" localSheetId="1">[3]DATA_NPA!$M$69</definedName>
    <definedName name="FHD_P_52" localSheetId="36">[3]DATA_NPA!$M$69</definedName>
    <definedName name="FHD_P_52" localSheetId="37">[3]DATA_NPA!$M$69</definedName>
    <definedName name="FHD_P_52">DATA_NPA!$M$69</definedName>
    <definedName name="FHD_P_53" localSheetId="38">[1]DATA_NPA!$M$70</definedName>
    <definedName name="FHD_P_53" localSheetId="39">[2]DATA_NPA!$M$70</definedName>
    <definedName name="FHD_P_53" localSheetId="40">[2]DATA_NPA!$M$70</definedName>
    <definedName name="FHD_P_53" localSheetId="1">[3]DATA_NPA!$M$70</definedName>
    <definedName name="FHD_P_53" localSheetId="36">[3]DATA_NPA!$M$70</definedName>
    <definedName name="FHD_P_53" localSheetId="37">[3]DATA_NPA!$M$70</definedName>
    <definedName name="FHD_P_53">DATA_NPA!$M$70</definedName>
    <definedName name="FHD_P_54" localSheetId="38">[1]DATA_NPA!$M$71</definedName>
    <definedName name="FHD_P_54" localSheetId="39">[2]DATA_NPA!$M$71</definedName>
    <definedName name="FHD_P_54" localSheetId="40">[2]DATA_NPA!$M$71</definedName>
    <definedName name="FHD_P_54" localSheetId="1">[3]DATA_NPA!$M$71</definedName>
    <definedName name="FHD_P_54" localSheetId="36">[3]DATA_NPA!$M$71</definedName>
    <definedName name="FHD_P_54" localSheetId="37">[3]DATA_NPA!$M$71</definedName>
    <definedName name="FHD_P_54">DATA_NPA!$M$71</definedName>
    <definedName name="FHD_P_55" localSheetId="38">[1]DATA_NPA!$M$72</definedName>
    <definedName name="FHD_P_55" localSheetId="39">[2]DATA_NPA!$M$72</definedName>
    <definedName name="FHD_P_55" localSheetId="40">[2]DATA_NPA!$M$72</definedName>
    <definedName name="FHD_P_55" localSheetId="1">[3]DATA_NPA!$M$72</definedName>
    <definedName name="FHD_P_55" localSheetId="36">[3]DATA_NPA!$M$72</definedName>
    <definedName name="FHD_P_55" localSheetId="37">[3]DATA_NPA!$M$72</definedName>
    <definedName name="FHD_P_55">DATA_NPA!$M$72</definedName>
    <definedName name="FHD_P_56" localSheetId="38">[1]DATA_NPA!$M$73</definedName>
    <definedName name="FHD_P_56" localSheetId="39">[2]DATA_NPA!$M$73</definedName>
    <definedName name="FHD_P_56" localSheetId="40">[2]DATA_NPA!$M$73</definedName>
    <definedName name="FHD_P_56" localSheetId="1">[3]DATA_NPA!$M$73</definedName>
    <definedName name="FHD_P_56" localSheetId="36">[3]DATA_NPA!$M$73</definedName>
    <definedName name="FHD_P_56" localSheetId="37">[3]DATA_NPA!$M$73</definedName>
    <definedName name="FHD_P_56">DATA_NPA!$M$73</definedName>
    <definedName name="FHD_P_57" localSheetId="38">[1]DATA_NPA!$M$74</definedName>
    <definedName name="FHD_P_57" localSheetId="39">[2]DATA_NPA!$M$74</definedName>
    <definedName name="FHD_P_57" localSheetId="40">[2]DATA_NPA!$M$74</definedName>
    <definedName name="FHD_P_57" localSheetId="1">[3]DATA_NPA!$M$74</definedName>
    <definedName name="FHD_P_57" localSheetId="36">[3]DATA_NPA!$M$74</definedName>
    <definedName name="FHD_P_57" localSheetId="37">[3]DATA_NPA!$M$74</definedName>
    <definedName name="FHD_P_57">DATA_NPA!$M$74</definedName>
    <definedName name="FHD_P_58" localSheetId="38">[1]DATA_NPA!$M$75</definedName>
    <definedName name="FHD_P_58" localSheetId="39">[2]DATA_NPA!$M$75</definedName>
    <definedName name="FHD_P_58" localSheetId="40">[2]DATA_NPA!$M$75</definedName>
    <definedName name="FHD_P_58" localSheetId="1">[3]DATA_NPA!$M$75</definedName>
    <definedName name="FHD_P_58" localSheetId="36">[3]DATA_NPA!$M$75</definedName>
    <definedName name="FHD_P_58" localSheetId="37">[3]DATA_NPA!$M$75</definedName>
    <definedName name="FHD_P_58">DATA_NPA!$M$75</definedName>
    <definedName name="FHD_P_59" localSheetId="38">[1]DATA_NPA!$M$76</definedName>
    <definedName name="FHD_P_59" localSheetId="39">[2]DATA_NPA!$M$76</definedName>
    <definedName name="FHD_P_59" localSheetId="40">[2]DATA_NPA!$M$76</definedName>
    <definedName name="FHD_P_59" localSheetId="1">[3]DATA_NPA!$M$76</definedName>
    <definedName name="FHD_P_59" localSheetId="36">[3]DATA_NPA!$M$76</definedName>
    <definedName name="FHD_P_59" localSheetId="37">[3]DATA_NPA!$M$76</definedName>
    <definedName name="FHD_P_59">DATA_NPA!$M$76</definedName>
    <definedName name="FHD_P_6" localSheetId="38">[1]DATA_NPA!$M$23</definedName>
    <definedName name="FHD_P_6" localSheetId="39">[2]DATA_NPA!$M$23</definedName>
    <definedName name="FHD_P_6" localSheetId="40">[2]DATA_NPA!$M$23</definedName>
    <definedName name="FHD_P_6" localSheetId="1">[3]DATA_NPA!$M$23</definedName>
    <definedName name="FHD_P_6" localSheetId="36">[3]DATA_NPA!$M$23</definedName>
    <definedName name="FHD_P_6" localSheetId="37">[3]DATA_NPA!$M$23</definedName>
    <definedName name="FHD_P_6">DATA_NPA!$M$23</definedName>
    <definedName name="FHD_P_60" localSheetId="38">[1]DATA_NPA!$M$77</definedName>
    <definedName name="FHD_P_60" localSheetId="39">[2]DATA_NPA!$M$77</definedName>
    <definedName name="FHD_P_60" localSheetId="40">[2]DATA_NPA!$M$77</definedName>
    <definedName name="FHD_P_60" localSheetId="1">[3]DATA_NPA!$M$77</definedName>
    <definedName name="FHD_P_60" localSheetId="36">[3]DATA_NPA!$M$77</definedName>
    <definedName name="FHD_P_60" localSheetId="37">[3]DATA_NPA!$M$77</definedName>
    <definedName name="FHD_P_60">DATA_NPA!$M$77</definedName>
    <definedName name="FHD_P_61" localSheetId="38">[1]DATA_NPA!$M$78</definedName>
    <definedName name="FHD_P_61" localSheetId="39">[2]DATA_NPA!$M$78</definedName>
    <definedName name="FHD_P_61" localSheetId="40">[2]DATA_NPA!$M$78</definedName>
    <definedName name="FHD_P_61" localSheetId="1">[3]DATA_NPA!$M$78</definedName>
    <definedName name="FHD_P_61" localSheetId="36">[3]DATA_NPA!$M$78</definedName>
    <definedName name="FHD_P_61" localSheetId="37">[3]DATA_NPA!$M$78</definedName>
    <definedName name="FHD_P_61">DATA_NPA!$M$78</definedName>
    <definedName name="FHD_P_62" localSheetId="38">[1]DATA_NPA!$M$79</definedName>
    <definedName name="FHD_P_62" localSheetId="39">[2]DATA_NPA!$M$79</definedName>
    <definedName name="FHD_P_62" localSheetId="40">[2]DATA_NPA!$M$79</definedName>
    <definedName name="FHD_P_62" localSheetId="1">[3]DATA_NPA!$M$79</definedName>
    <definedName name="FHD_P_62" localSheetId="36">[3]DATA_NPA!$M$79</definedName>
    <definedName name="FHD_P_62" localSheetId="37">[3]DATA_NPA!$M$79</definedName>
    <definedName name="FHD_P_62">DATA_NPA!$M$79</definedName>
    <definedName name="FHD_P_63" localSheetId="38">[1]DATA_NPA!$M$80</definedName>
    <definedName name="FHD_P_63" localSheetId="39">[2]DATA_NPA!$M$80</definedName>
    <definedName name="FHD_P_63" localSheetId="40">[2]DATA_NPA!$M$80</definedName>
    <definedName name="FHD_P_63" localSheetId="1">[3]DATA_NPA!$M$80</definedName>
    <definedName name="FHD_P_63" localSheetId="36">[3]DATA_NPA!$M$80</definedName>
    <definedName name="FHD_P_63" localSheetId="37">[3]DATA_NPA!$M$80</definedName>
    <definedName name="FHD_P_63">DATA_NPA!$M$80</definedName>
    <definedName name="FHD_P_64" localSheetId="38">[1]DATA_NPA!$M$81</definedName>
    <definedName name="FHD_P_64" localSheetId="39">[2]DATA_NPA!$M$81</definedName>
    <definedName name="FHD_P_64" localSheetId="40">[2]DATA_NPA!$M$81</definedName>
    <definedName name="FHD_P_64" localSheetId="1">[3]DATA_NPA!$M$81</definedName>
    <definedName name="FHD_P_64" localSheetId="36">[3]DATA_NPA!$M$81</definedName>
    <definedName name="FHD_P_64" localSheetId="37">[3]DATA_NPA!$M$81</definedName>
    <definedName name="FHD_P_64">DATA_NPA!$M$81</definedName>
    <definedName name="FHD_P_65" localSheetId="38">[1]DATA_NPA!$M$82</definedName>
    <definedName name="FHD_P_65" localSheetId="39">[2]DATA_NPA!$M$82</definedName>
    <definedName name="FHD_P_65" localSheetId="40">[2]DATA_NPA!$M$82</definedName>
    <definedName name="FHD_P_65" localSheetId="1">[3]DATA_NPA!$M$82</definedName>
    <definedName name="FHD_P_65" localSheetId="36">[3]DATA_NPA!$M$82</definedName>
    <definedName name="FHD_P_65" localSheetId="37">[3]DATA_NPA!$M$82</definedName>
    <definedName name="FHD_P_65">DATA_NPA!$M$82</definedName>
    <definedName name="FHD_P_66" localSheetId="38">[1]DATA_NPA!$M$83</definedName>
    <definedName name="FHD_P_66" localSheetId="39">[2]DATA_NPA!$M$83</definedName>
    <definedName name="FHD_P_66" localSheetId="40">[2]DATA_NPA!$M$83</definedName>
    <definedName name="FHD_P_66" localSheetId="1">[3]DATA_NPA!$M$83</definedName>
    <definedName name="FHD_P_66" localSheetId="36">[3]DATA_NPA!$M$83</definedName>
    <definedName name="FHD_P_66" localSheetId="37">[3]DATA_NPA!$M$83</definedName>
    <definedName name="FHD_P_66">DATA_NPA!$M$83</definedName>
    <definedName name="FHD_P_67" localSheetId="38">[1]DATA_NPA!$M$84</definedName>
    <definedName name="FHD_P_67" localSheetId="39">[2]DATA_NPA!$M$84</definedName>
    <definedName name="FHD_P_67" localSheetId="40">[2]DATA_NPA!$M$84</definedName>
    <definedName name="FHD_P_67" localSheetId="1">[3]DATA_NPA!$M$84</definedName>
    <definedName name="FHD_P_67" localSheetId="36">[3]DATA_NPA!$M$84</definedName>
    <definedName name="FHD_P_67" localSheetId="37">[3]DATA_NPA!$M$84</definedName>
    <definedName name="FHD_P_67">DATA_NPA!$M$84</definedName>
    <definedName name="FHD_P_68" localSheetId="38">[1]DATA_NPA!$M$85</definedName>
    <definedName name="FHD_P_68" localSheetId="39">[2]DATA_NPA!$M$85</definedName>
    <definedName name="FHD_P_68" localSheetId="40">[2]DATA_NPA!$M$85</definedName>
    <definedName name="FHD_P_68" localSheetId="1">[3]DATA_NPA!$M$85</definedName>
    <definedName name="FHD_P_68" localSheetId="36">[3]DATA_NPA!$M$85</definedName>
    <definedName name="FHD_P_68" localSheetId="37">[3]DATA_NPA!$M$85</definedName>
    <definedName name="FHD_P_68">DATA_NPA!$M$85</definedName>
    <definedName name="FHD_P_69" localSheetId="38">[1]DATA_NPA!$M$86</definedName>
    <definedName name="FHD_P_69" localSheetId="39">[2]DATA_NPA!$M$86</definedName>
    <definedName name="FHD_P_69" localSheetId="40">[2]DATA_NPA!$M$86</definedName>
    <definedName name="FHD_P_69" localSheetId="1">[3]DATA_NPA!$M$86</definedName>
    <definedName name="FHD_P_69" localSheetId="36">[3]DATA_NPA!$M$86</definedName>
    <definedName name="FHD_P_69" localSheetId="37">[3]DATA_NPA!$M$86</definedName>
    <definedName name="FHD_P_69">DATA_NPA!$M$86</definedName>
    <definedName name="FHD_P_7" localSheetId="38">[1]DATA_NPA!$M$24</definedName>
    <definedName name="FHD_P_7" localSheetId="39">[2]DATA_NPA!$M$24</definedName>
    <definedName name="FHD_P_7" localSheetId="40">[2]DATA_NPA!$M$24</definedName>
    <definedName name="FHD_P_7" localSheetId="1">[3]DATA_NPA!$M$24</definedName>
    <definedName name="FHD_P_7" localSheetId="36">[3]DATA_NPA!$M$24</definedName>
    <definedName name="FHD_P_7" localSheetId="37">[3]DATA_NPA!$M$24</definedName>
    <definedName name="FHD_P_7">DATA_NPA!$M$24</definedName>
    <definedName name="FHD_P_70" localSheetId="38">[1]DATA_NPA!$M$87</definedName>
    <definedName name="FHD_P_70" localSheetId="39">[2]DATA_NPA!$M$87</definedName>
    <definedName name="FHD_P_70" localSheetId="40">[2]DATA_NPA!$M$87</definedName>
    <definedName name="FHD_P_70" localSheetId="1">[3]DATA_NPA!$M$87</definedName>
    <definedName name="FHD_P_70" localSheetId="36">[3]DATA_NPA!$M$87</definedName>
    <definedName name="FHD_P_70" localSheetId="37">[3]DATA_NPA!$M$87</definedName>
    <definedName name="FHD_P_70">DATA_NPA!$M$87</definedName>
    <definedName name="FHD_P_71" localSheetId="38">[1]DATA_NPA!$M$88</definedName>
    <definedName name="FHD_P_71" localSheetId="39">[2]DATA_NPA!$M$88</definedName>
    <definedName name="FHD_P_71" localSheetId="40">[2]DATA_NPA!$M$88</definedName>
    <definedName name="FHD_P_71" localSheetId="1">[3]DATA_NPA!$M$88</definedName>
    <definedName name="FHD_P_71" localSheetId="36">[3]DATA_NPA!$M$88</definedName>
    <definedName name="FHD_P_71" localSheetId="37">[3]DATA_NPA!$M$88</definedName>
    <definedName name="FHD_P_71">DATA_NPA!$M$88</definedName>
    <definedName name="FHD_P_72" localSheetId="38">[1]DATA_NPA!$M$89</definedName>
    <definedName name="FHD_P_72" localSheetId="39">[2]DATA_NPA!$M$89</definedName>
    <definedName name="FHD_P_72" localSheetId="40">[2]DATA_NPA!$M$89</definedName>
    <definedName name="FHD_P_72" localSheetId="1">[3]DATA_NPA!$M$89</definedName>
    <definedName name="FHD_P_72" localSheetId="36">[3]DATA_NPA!$M$89</definedName>
    <definedName name="FHD_P_72" localSheetId="37">[3]DATA_NPA!$M$89</definedName>
    <definedName name="FHD_P_72">DATA_NPA!$M$89</definedName>
    <definedName name="FHD_P_73" localSheetId="38">[1]DATA_NPA!$M$90</definedName>
    <definedName name="FHD_P_73" localSheetId="39">[2]DATA_NPA!$M$90</definedName>
    <definedName name="FHD_P_73" localSheetId="40">[2]DATA_NPA!$M$90</definedName>
    <definedName name="FHD_P_73" localSheetId="1">[3]DATA_NPA!$M$90</definedName>
    <definedName name="FHD_P_73" localSheetId="36">[3]DATA_NPA!$M$90</definedName>
    <definedName name="FHD_P_73" localSheetId="37">[3]DATA_NPA!$M$90</definedName>
    <definedName name="FHD_P_73">DATA_NPA!$M$90</definedName>
    <definedName name="FHD_P_74" localSheetId="38">[1]DATA_NPA!$M$91</definedName>
    <definedName name="FHD_P_74" localSheetId="39">[2]DATA_NPA!$M$91</definedName>
    <definedName name="FHD_P_74" localSheetId="40">[2]DATA_NPA!$M$91</definedName>
    <definedName name="FHD_P_74" localSheetId="1">[3]DATA_NPA!$M$91</definedName>
    <definedName name="FHD_P_74" localSheetId="36">[3]DATA_NPA!$M$91</definedName>
    <definedName name="FHD_P_74" localSheetId="37">[3]DATA_NPA!$M$91</definedName>
    <definedName name="FHD_P_74">DATA_NPA!$M$91</definedName>
    <definedName name="FHD_P_75" localSheetId="38">[1]DATA_NPA!$M$92</definedName>
    <definedName name="FHD_P_75" localSheetId="39">[2]DATA_NPA!$M$92</definedName>
    <definedName name="FHD_P_75" localSheetId="40">[2]DATA_NPA!$M$92</definedName>
    <definedName name="FHD_P_75" localSheetId="1">[3]DATA_NPA!$M$92</definedName>
    <definedName name="FHD_P_75" localSheetId="36">[3]DATA_NPA!$M$92</definedName>
    <definedName name="FHD_P_75" localSheetId="37">[3]DATA_NPA!$M$92</definedName>
    <definedName name="FHD_P_75">DATA_NPA!$M$92</definedName>
    <definedName name="FHD_P_76" localSheetId="38">[1]DATA_NPA!$M$93</definedName>
    <definedName name="FHD_P_76" localSheetId="39">[2]DATA_NPA!$M$93</definedName>
    <definedName name="FHD_P_76" localSheetId="40">[2]DATA_NPA!$M$93</definedName>
    <definedName name="FHD_P_76" localSheetId="1">[3]DATA_NPA!$M$93</definedName>
    <definedName name="FHD_P_76" localSheetId="36">[3]DATA_NPA!$M$93</definedName>
    <definedName name="FHD_P_76" localSheetId="37">[3]DATA_NPA!$M$93</definedName>
    <definedName name="FHD_P_76">DATA_NPA!$M$93</definedName>
    <definedName name="FHD_P_77" localSheetId="38">[1]DATA_NPA!$M$94</definedName>
    <definedName name="FHD_P_77" localSheetId="39">[2]DATA_NPA!$M$94</definedName>
    <definedName name="FHD_P_77" localSheetId="40">[2]DATA_NPA!$M$94</definedName>
    <definedName name="FHD_P_77" localSheetId="1">[3]DATA_NPA!$M$94</definedName>
    <definedName name="FHD_P_77" localSheetId="36">[3]DATA_NPA!$M$94</definedName>
    <definedName name="FHD_P_77" localSheetId="37">[3]DATA_NPA!$M$94</definedName>
    <definedName name="FHD_P_77">DATA_NPA!$M$94</definedName>
    <definedName name="FHD_P_78" localSheetId="38">[1]DATA_NPA!$M$95</definedName>
    <definedName name="FHD_P_78" localSheetId="39">[2]DATA_NPA!$M$95</definedName>
    <definedName name="FHD_P_78" localSheetId="40">[2]DATA_NPA!$M$95</definedName>
    <definedName name="FHD_P_78" localSheetId="1">[3]DATA_NPA!$M$95</definedName>
    <definedName name="FHD_P_78" localSheetId="36">[3]DATA_NPA!$M$95</definedName>
    <definedName name="FHD_P_78" localSheetId="37">[3]DATA_NPA!$M$95</definedName>
    <definedName name="FHD_P_78">DATA_NPA!$M$95</definedName>
    <definedName name="FHD_P_79" localSheetId="38">[1]DATA_NPA!$M$96</definedName>
    <definedName name="FHD_P_79" localSheetId="39">[2]DATA_NPA!$M$96</definedName>
    <definedName name="FHD_P_79" localSheetId="40">[2]DATA_NPA!$M$96</definedName>
    <definedName name="FHD_P_79" localSheetId="1">[3]DATA_NPA!$M$96</definedName>
    <definedName name="FHD_P_79" localSheetId="36">[3]DATA_NPA!$M$96</definedName>
    <definedName name="FHD_P_79" localSheetId="37">[3]DATA_NPA!$M$96</definedName>
    <definedName name="FHD_P_79">DATA_NPA!$M$96</definedName>
    <definedName name="FHD_P_8" localSheetId="38">[1]DATA_NPA!$M$25</definedName>
    <definedName name="FHD_P_8" localSheetId="39">[2]DATA_NPA!$M$25</definedName>
    <definedName name="FHD_P_8" localSheetId="40">[2]DATA_NPA!$M$25</definedName>
    <definedName name="FHD_P_8" localSheetId="1">[3]DATA_NPA!$M$25</definedName>
    <definedName name="FHD_P_8" localSheetId="36">[3]DATA_NPA!$M$25</definedName>
    <definedName name="FHD_P_8" localSheetId="37">[3]DATA_NPA!$M$25</definedName>
    <definedName name="FHD_P_8">DATA_NPA!$M$25</definedName>
    <definedName name="FHD_P_80" localSheetId="38">[1]DATA_NPA!$M$97</definedName>
    <definedName name="FHD_P_80" localSheetId="39">[2]DATA_NPA!$M$97</definedName>
    <definedName name="FHD_P_80" localSheetId="40">[2]DATA_NPA!$M$97</definedName>
    <definedName name="FHD_P_80" localSheetId="1">[3]DATA_NPA!$M$97</definedName>
    <definedName name="FHD_P_80" localSheetId="36">[3]DATA_NPA!$M$97</definedName>
    <definedName name="FHD_P_80" localSheetId="37">[3]DATA_NPA!$M$97</definedName>
    <definedName name="FHD_P_80">DATA_NPA!$M$97</definedName>
    <definedName name="FHD_P_81" localSheetId="38">[1]DATA_NPA!$M$98</definedName>
    <definedName name="FHD_P_81" localSheetId="39">[2]DATA_NPA!$M$98</definedName>
    <definedName name="FHD_P_81" localSheetId="40">[2]DATA_NPA!$M$98</definedName>
    <definedName name="FHD_P_81" localSheetId="1">[3]DATA_NPA!$M$98</definedName>
    <definedName name="FHD_P_81" localSheetId="36">[3]DATA_NPA!$M$98</definedName>
    <definedName name="FHD_P_81" localSheetId="37">[3]DATA_NPA!$M$98</definedName>
    <definedName name="FHD_P_81">DATA_NPA!$M$98</definedName>
    <definedName name="FHD_P_82" localSheetId="38">[1]DATA_NPA!$M$99</definedName>
    <definedName name="FHD_P_82" localSheetId="39">[2]DATA_NPA!$M$99</definedName>
    <definedName name="FHD_P_82" localSheetId="40">[2]DATA_NPA!$M$99</definedName>
    <definedName name="FHD_P_82" localSheetId="1">[3]DATA_NPA!$M$99</definedName>
    <definedName name="FHD_P_82" localSheetId="36">[3]DATA_NPA!$M$99</definedName>
    <definedName name="FHD_P_82" localSheetId="37">[3]DATA_NPA!$M$99</definedName>
    <definedName name="FHD_P_82">DATA_NPA!$M$99</definedName>
    <definedName name="FHD_P_83" localSheetId="38">[1]DATA_NPA!$M$100</definedName>
    <definedName name="FHD_P_83" localSheetId="39">[2]DATA_NPA!$M$100</definedName>
    <definedName name="FHD_P_83" localSheetId="40">[2]DATA_NPA!$M$100</definedName>
    <definedName name="FHD_P_83" localSheetId="1">[3]DATA_NPA!$M$100</definedName>
    <definedName name="FHD_P_83" localSheetId="36">[3]DATA_NPA!$M$100</definedName>
    <definedName name="FHD_P_83" localSheetId="37">[3]DATA_NPA!$M$100</definedName>
    <definedName name="FHD_P_83">DATA_NPA!$M$100</definedName>
    <definedName name="FHD_P_84" localSheetId="38">[1]DATA_NPA!$M$101</definedName>
    <definedName name="FHD_P_84" localSheetId="39">[2]DATA_NPA!$M$101</definedName>
    <definedName name="FHD_P_84" localSheetId="40">[2]DATA_NPA!$M$101</definedName>
    <definedName name="FHD_P_84" localSheetId="1">[3]DATA_NPA!$M$101</definedName>
    <definedName name="FHD_P_84" localSheetId="36">[3]DATA_NPA!$M$101</definedName>
    <definedName name="FHD_P_84" localSheetId="37">[3]DATA_NPA!$M$101</definedName>
    <definedName name="FHD_P_84">DATA_NPA!$M$101</definedName>
    <definedName name="FHD_P_9" localSheetId="38">[1]DATA_NPA!$M$26</definedName>
    <definedName name="FHD_P_9" localSheetId="39">[2]DATA_NPA!$M$26</definedName>
    <definedName name="FHD_P_9" localSheetId="40">[2]DATA_NPA!$M$26</definedName>
    <definedName name="FHD_P_9" localSheetId="1">[3]DATA_NPA!$M$26</definedName>
    <definedName name="FHD_P_9" localSheetId="36">[3]DATA_NPA!$M$26</definedName>
    <definedName name="FHD_P_9" localSheetId="37">[3]DATA_NPA!$M$26</definedName>
    <definedName name="FHD_P_9">DATA_NPA!$M$26</definedName>
    <definedName name="FHD_P_A">DATA_NPA!$M$18</definedName>
    <definedName name="FHD20_NAME_FORM" localSheetId="38">[1]DATA_FORMS!$C$7</definedName>
    <definedName name="FHD20_NAME_FORM" localSheetId="39">[2]DATA_FORMS!$C$7</definedName>
    <definedName name="FHD20_NAME_FORM" localSheetId="40">[2]DATA_FORMS!$C$7</definedName>
    <definedName name="FHD20_NAME_FORM" localSheetId="1">[3]DATA_FORMS!$C$7</definedName>
    <definedName name="FHD20_NAME_FORM" localSheetId="36">[3]DATA_FORMS!$C$7</definedName>
    <definedName name="FHD20_NAME_FORM" localSheetId="37">[3]DATA_FORMS!$C$7</definedName>
    <definedName name="FHD20_NAME_FORM">DATA_FORMS!$C$7</definedName>
    <definedName name="fil">#REF!</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 localSheetId="39">[2]Титульный!$F$33</definedName>
    <definedName name="inn" localSheetId="40">[2]Титульный!$F$33</definedName>
    <definedName name="inn" localSheetId="1">[3]Титульный!$F$33</definedName>
    <definedName name="inn" localSheetId="36">[3]Титульный!$F$33</definedName>
    <definedName name="inn" localSheetId="37">[3]Титульный!$F$33</definedName>
    <definedName name="inn">#REF!</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 localSheetId="38">[1]ИП!$H$11:$H$13</definedName>
    <definedName name="IP_MAIN_DIFFERENTIATION_EVENTS_FLAG" localSheetId="39">[2]ИП!$H$11:$H$13</definedName>
    <definedName name="IP_MAIN_DIFFERENTIATION_EVENTS_FLAG" localSheetId="40">[2]ИП!$H$11:$H$13</definedName>
    <definedName name="IP_MAIN_DIFFERENTIATION_EVENTS_FLAG" localSheetId="1">[3]ИП!$H$11:$H$13</definedName>
    <definedName name="IP_MAIN_DIFFERENTIATION_EVENTS_FLAG" localSheetId="36">[3]ИП!$H$11:$H$13</definedName>
    <definedName name="IP_MAIN_DIFFERENTIATION_EVENTS_FLAG" localSheetId="37">[3]ИП!$H$11:$H$13</definedName>
    <definedName name="IP_MAIN_DIFFERENTIATION_EVENTS_FLAG">ИП!$H$11:$H$13</definedName>
    <definedName name="IP_MAIN_END_DATE" localSheetId="38">[1]ИП!$O$11:$O$13</definedName>
    <definedName name="IP_MAIN_END_DATE" localSheetId="39">[2]ИП!$O$11:$O$13</definedName>
    <definedName name="IP_MAIN_END_DATE" localSheetId="40">[2]ИП!$O$11:$O$13</definedName>
    <definedName name="IP_MAIN_END_DATE" localSheetId="1">[3]ИП!$O$11:$O$13</definedName>
    <definedName name="IP_MAIN_END_DATE" localSheetId="36">[3]ИП!$O$11:$O$13</definedName>
    <definedName name="IP_MAIN_END_DATE" localSheetId="37">[3]ИП!$O$11:$O$13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 localSheetId="38">[1]ИП!$AD$11:$AD$13</definedName>
    <definedName name="IP_MAIN_LIST_IP_ID" localSheetId="39">[2]ИП!$AD$11:$AD$13</definedName>
    <definedName name="IP_MAIN_LIST_IP_ID" localSheetId="40">[2]ИП!$AD$11:$AD$13</definedName>
    <definedName name="IP_MAIN_LIST_IP_ID" localSheetId="1">[3]ИП!$AD$11:$AD$13</definedName>
    <definedName name="IP_MAIN_LIST_IP_ID" localSheetId="36">[3]ИП!$AD$11:$AD$13</definedName>
    <definedName name="IP_MAIN_LIST_IP_ID" localSheetId="37">[3]ИП!$AD$11:$AD$13</definedName>
    <definedName name="IP_MAIN_LIST_IP_ID">ИП!$AD$11:$AD$13</definedName>
    <definedName name="IP_MAIN_LIST_NAME_IP" localSheetId="38">[1]ИП!$G$11:$G$13</definedName>
    <definedName name="IP_MAIN_LIST_NAME_IP" localSheetId="39">[2]ИП!$G$11:$G$13</definedName>
    <definedName name="IP_MAIN_LIST_NAME_IP" localSheetId="40">[2]ИП!$G$11:$G$13</definedName>
    <definedName name="IP_MAIN_LIST_NAME_IP" localSheetId="1">[3]ИП!$G$11:$G$13</definedName>
    <definedName name="IP_MAIN_LIST_NAME_IP" localSheetId="36">[3]ИП!$G$11:$G$13</definedName>
    <definedName name="IP_MAIN_LIST_NAME_IP" localSheetId="37">[3]ИП!$G$11:$G$13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 localSheetId="38">[1]ИП!$N$11:$N$13</definedName>
    <definedName name="IP_MAIN_START_DATE" localSheetId="39">[2]ИП!$N$11:$N$13</definedName>
    <definedName name="IP_MAIN_START_DATE" localSheetId="40">[2]ИП!$N$11:$N$13</definedName>
    <definedName name="IP_MAIN_START_DATE" localSheetId="1">[3]ИП!$N$11:$N$13</definedName>
    <definedName name="IP_MAIN_START_DATE" localSheetId="36">[3]ИП!$N$11:$N$13</definedName>
    <definedName name="IP_MAIN_START_DATE" localSheetId="37">[3]ИП!$N$11:$N$13</definedName>
    <definedName name="IP_MAIN_START_DATE">ИП!$N$11:$N$13</definedName>
    <definedName name="IP_NAME_FORM" localSheetId="38">[1]DATA_FORMS!$C$32</definedName>
    <definedName name="IP_NAME_FORM" localSheetId="39">[2]DATA_FORMS!$C$32</definedName>
    <definedName name="IP_NAME_FORM" localSheetId="40">[2]DATA_FORMS!$C$32</definedName>
    <definedName name="IP_NAME_FORM" localSheetId="1">[3]DATA_FORMS!$C$32</definedName>
    <definedName name="IP_NAME_FORM" localSheetId="36">[3]DATA_FORMS!$C$32</definedName>
    <definedName name="IP_NAME_FORM" localSheetId="37">[3]DATA_FORMS!$C$32</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 localSheetId="38">[1]TEHSHEET!$R$2:$R$6</definedName>
    <definedName name="kind_of_cons" localSheetId="39">[2]TEHSHEET!$R$2:$R$6</definedName>
    <definedName name="kind_of_cons" localSheetId="40">[2]TEHSHEET!$R$2:$R$6</definedName>
    <definedName name="kind_of_cons" localSheetId="1">[3]TEHSHEET!$R$2:$R$6</definedName>
    <definedName name="kind_of_cons" localSheetId="36">[3]TEHSHEET!$R$2:$R$6</definedName>
    <definedName name="kind_of_cons" localSheetId="37">[3]TEHSHEET!$R$2:$R$6</definedName>
    <definedName name="kind_of_cons">TEHSHEET!$R$2:$R$6</definedName>
    <definedName name="kind_of_control_method">TEHSHEET!$K$2:$K$5</definedName>
    <definedName name="kind_of_control_method_filter" localSheetId="38">[1]TEHSHEET!$L$2:$L$5</definedName>
    <definedName name="kind_of_control_method_filter" localSheetId="39">[2]TEHSHEET!$L$2:$L$5</definedName>
    <definedName name="kind_of_control_method_filter" localSheetId="40">[2]TEHSHEET!$L$2:$L$5</definedName>
    <definedName name="kind_of_control_method_filter" localSheetId="1">[3]TEHSHEET!$L$2:$L$5</definedName>
    <definedName name="kind_of_control_method_filter" localSheetId="36">[3]TEHSHEET!$L$2:$L$5</definedName>
    <definedName name="kind_of_control_method_filter" localSheetId="37">[3]TEHSHEET!$L$2:$L$5</definedName>
    <definedName name="kind_of_control_method_filter">TEHSHEET!$L$2:$L$5</definedName>
    <definedName name="kind_of_data_type" localSheetId="38">[1]TEHSHEET!$P$2:$P$3</definedName>
    <definedName name="kind_of_data_type" localSheetId="39">[2]TEHSHEET!$P$2:$P$3</definedName>
    <definedName name="kind_of_data_type" localSheetId="40">[2]TEHSHEET!$P$2:$P$3</definedName>
    <definedName name="kind_of_data_type" localSheetId="1">[3]TEHSHEET!$P$2:$P$3</definedName>
    <definedName name="kind_of_data_type" localSheetId="36">[3]TEHSHEET!$P$2:$P$3</definedName>
    <definedName name="kind_of_data_type" localSheetId="37">[3]TEHSHEET!$P$2:$P$3</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 localSheetId="38">[1]TEHSHEET!$BB$2:$BB$29</definedName>
    <definedName name="kind_of_fuels" localSheetId="39">[2]TEHSHEET!$BB$2:$BB$29</definedName>
    <definedName name="kind_of_fuels" localSheetId="40">[2]TEHSHEET!$BB$2:$BB$29</definedName>
    <definedName name="kind_of_fuels" localSheetId="1">[3]TEHSHEET!$BB$2:$BB$29</definedName>
    <definedName name="kind_of_fuels" localSheetId="36">[3]TEHSHEET!$BB$2:$BB$29</definedName>
    <definedName name="kind_of_fuels" localSheetId="37">[3]TEHSHEET!$BB$2:$BB$29</definedName>
    <definedName name="kind_of_fuels">TEHSHEET!$BB$2:$BB$29</definedName>
    <definedName name="kind_of_heat_transfer" localSheetId="38">[1]TEHSHEET!$O$2:$O$12</definedName>
    <definedName name="kind_of_heat_transfer" localSheetId="39">[2]TEHSHEET!$O$2:$O$12</definedName>
    <definedName name="kind_of_heat_transfer" localSheetId="40">[2]TEHSHEET!$O$2:$O$12</definedName>
    <definedName name="kind_of_heat_transfer" localSheetId="1">[3]TEHSHEET!$O$2:$O$12</definedName>
    <definedName name="kind_of_heat_transfer" localSheetId="36">[3]TEHSHEET!$O$2:$O$12</definedName>
    <definedName name="kind_of_heat_transfer" localSheetId="37">[3]TEHSHEET!$O$2:$O$12</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 localSheetId="38">[1]TEHSHEET!$H$2:$H$7</definedName>
    <definedName name="kind_of_NDS" localSheetId="39">[2]TEHSHEET!$H$2:$H$7</definedName>
    <definedName name="kind_of_NDS" localSheetId="40">[2]TEHSHEET!$H$2:$H$7</definedName>
    <definedName name="kind_of_NDS" localSheetId="1">[3]TEHSHEET!$H$2:$H$7</definedName>
    <definedName name="kind_of_NDS" localSheetId="36">[3]TEHSHEET!$H$2:$H$7</definedName>
    <definedName name="kind_of_NDS" localSheetId="37">[3]TEHSHEET!$H$2:$H$7</definedName>
    <definedName name="kind_of_NDS">TEHSHEET!$H$2:$H$7</definedName>
    <definedName name="kind_of_NDS_tariff">TEHSHEET!$H$10:$H$11</definedName>
    <definedName name="kind_of_NDS_tariff_people">TEHSHEET!$H$16:$H$17</definedName>
    <definedName name="kind_of_nets">TEHSHEET!$S$2:$S$4</definedName>
    <definedName name="kind_of_org_type" localSheetId="38">[1]TEHSHEET!$AZ$2:$AZ$5</definedName>
    <definedName name="kind_of_org_type" localSheetId="39">[2]TEHSHEET!$AZ$2:$AZ$5</definedName>
    <definedName name="kind_of_org_type" localSheetId="40">[2]TEHSHEET!$AZ$2:$AZ$5</definedName>
    <definedName name="kind_of_org_type" localSheetId="1">[3]TEHSHEET!$AZ$2:$AZ$5</definedName>
    <definedName name="kind_of_org_type" localSheetId="36">[3]TEHSHEET!$AZ$2:$AZ$5</definedName>
    <definedName name="kind_of_org_type" localSheetId="37">[3]TEHSHEET!$AZ$2:$AZ$5</definedName>
    <definedName name="kind_of_org_type">TEHSHEET!$AZ$2:$AZ$5</definedName>
    <definedName name="kind_of_power_te_unit" localSheetId="38">[1]TEHSHEET!$J$11:$J$12</definedName>
    <definedName name="kind_of_power_te_unit" localSheetId="39">[2]TEHSHEET!$J$11:$J$12</definedName>
    <definedName name="kind_of_power_te_unit" localSheetId="40">[2]TEHSHEET!$J$11:$J$12</definedName>
    <definedName name="kind_of_power_te_unit" localSheetId="1">[3]TEHSHEET!$J$11:$J$12</definedName>
    <definedName name="kind_of_power_te_unit" localSheetId="36">[3]TEHSHEET!$J$11:$J$12</definedName>
    <definedName name="kind_of_power_te_unit" localSheetId="37">[3]TEHSHEET!$J$11:$J$12</definedName>
    <definedName name="kind_of_power_te_unit">TEHSHEET!$J$11:$J$12</definedName>
    <definedName name="kind_of_publication">TEHSHEET!$G$2:$G$3</definedName>
    <definedName name="kind_of_purchase_method" localSheetId="38">[1]TEHSHEET!$K$11:$K$13</definedName>
    <definedName name="kind_of_purchase_method" localSheetId="39">[2]TEHSHEET!$K$11:$K$13</definedName>
    <definedName name="kind_of_purchase_method" localSheetId="40">[2]TEHSHEET!$K$11:$K$13</definedName>
    <definedName name="kind_of_purchase_method" localSheetId="1">[3]TEHSHEET!$K$11:$K$13</definedName>
    <definedName name="kind_of_purchase_method" localSheetId="36">[3]TEHSHEET!$K$11:$K$13</definedName>
    <definedName name="kind_of_purchase_method" localSheetId="37">[3]TEHSHEET!$K$11:$K$13</definedName>
    <definedName name="kind_of_purchase_method">TEHSHEET!$K$11:$K$13</definedName>
    <definedName name="kind_of_scheme_in" localSheetId="38">[1]TEHSHEET!$Q$2:$Q$5</definedName>
    <definedName name="kind_of_scheme_in" localSheetId="39">[2]TEHSHEET!$Q$2:$Q$5</definedName>
    <definedName name="kind_of_scheme_in" localSheetId="40">[2]TEHSHEET!$Q$2:$Q$5</definedName>
    <definedName name="kind_of_scheme_in" localSheetId="1">[3]TEHSHEET!$Q$2:$Q$5</definedName>
    <definedName name="kind_of_scheme_in" localSheetId="36">[3]TEHSHEET!$Q$2:$Q$5</definedName>
    <definedName name="kind_of_scheme_in" localSheetId="37">[3]TEHSHEET!$Q$2:$Q$5</definedName>
    <definedName name="kind_of_scheme_in">TEHSHEET!$Q$2:$Q$5</definedName>
    <definedName name="kind_of_scheme_in2">TEHSHEET!$Q$3:$Q$5</definedName>
    <definedName name="kind_of_tariff_unit">TEHSHEET!$J$7:$J$8</definedName>
    <definedName name="kind_of_unit">TEHSHEET!$J$2:$J$4</definedName>
    <definedName name="kind_of_volume_te_unit" localSheetId="38">[1]TEHSHEET!$J$15:$J$16</definedName>
    <definedName name="kind_of_volume_te_unit" localSheetId="39">[2]TEHSHEET!$J$15:$J$16</definedName>
    <definedName name="kind_of_volume_te_unit" localSheetId="40">[2]TEHSHEET!$J$15:$J$16</definedName>
    <definedName name="kind_of_volume_te_unit" localSheetId="1">[3]TEHSHEET!$J$15:$J$16</definedName>
    <definedName name="kind_of_volume_te_unit" localSheetId="36">[3]TEHSHEET!$J$15:$J$16</definedName>
    <definedName name="kind_of_volume_te_unit" localSheetId="37">[3]TEHSHEET!$J$15:$J$16</definedName>
    <definedName name="kind_of_volume_te_unit">TEHSHEET!$J$15:$J$16</definedName>
    <definedName name="kind_of_zak">TEHSHEET!$AM$2:$AM$7</definedName>
    <definedName name="KNE_NAME_FORM" localSheetId="38">[1]DATA_FORMS!$C$8</definedName>
    <definedName name="KNE_NAME_FORM" localSheetId="39">[2]DATA_FORMS!$C$8</definedName>
    <definedName name="KNE_NAME_FORM" localSheetId="40">[2]DATA_FORMS!$C$8</definedName>
    <definedName name="KNE_NAME_FORM" localSheetId="1">[3]DATA_FORMS!$C$8</definedName>
    <definedName name="KNE_NAME_FORM" localSheetId="36">[3]DATA_FORMS!$C$8</definedName>
    <definedName name="KNE_NAME_FORM" localSheetId="37">[3]DATA_FORMS!$C$8</definedName>
    <definedName name="KNE_NAME_FORM">DATA_FORMS!$C$8</definedName>
    <definedName name="kpp" localSheetId="39">[2]Титульный!$F$34</definedName>
    <definedName name="kpp" localSheetId="40">[2]Титульный!$F$34</definedName>
    <definedName name="kpp" localSheetId="1">[3]Титульный!$F$34</definedName>
    <definedName name="kpp" localSheetId="36">[3]Титульный!$F$34</definedName>
    <definedName name="kpp" localSheetId="37">[3]Титульный!$F$34</definedName>
    <definedName name="kpp">#REF!</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#REF!</definedName>
    <definedName name="name_rates_4">TEHSHEET!$AA$2:$AA$3</definedName>
    <definedName name="name_rates_4_filter">TEHSHEET!$AB$2:$AB$3</definedName>
    <definedName name="name_rates_8">TEHSHEET!$AC$2:$AC$4</definedName>
    <definedName name="name_rates_8_filter">TEHSHEET!$AD$2:$AD$4</definedName>
    <definedName name="NameTemplatesInListMO" localSheetId="38">[1]TEHSHEET!$K$45</definedName>
    <definedName name="NameTemplatesInListMO" localSheetId="39">[2]TEHSHEET!$K$45</definedName>
    <definedName name="NameTemplatesInListMO" localSheetId="40">[2]TEHSHEET!$K$45</definedName>
    <definedName name="NameTemplatesInListMO" localSheetId="1">[3]TEHSHEET!$K$45</definedName>
    <definedName name="NameTemplatesInListMO" localSheetId="36">[3]TEHSHEET!$K$45</definedName>
    <definedName name="NameTemplatesInListMO" localSheetId="37">[3]TEHSHEET!$K$45</definedName>
    <definedName name="NameTemplatesInListMO">TEHSHEET!$K$45</definedName>
    <definedName name="NameTemplatesInTitle" localSheetId="38">[1]TEHSHEET!$J$45</definedName>
    <definedName name="NameTemplatesInTitle" localSheetId="39">[2]TEHSHEET!$J$45</definedName>
    <definedName name="NameTemplatesInTitle" localSheetId="40">[2]TEHSHEET!$J$45</definedName>
    <definedName name="NameTemplatesInTitle" localSheetId="1">[3]TEHSHEET!$J$45</definedName>
    <definedName name="NameTemplatesInTitle" localSheetId="36">[3]TEHSHEET!$J$45</definedName>
    <definedName name="NameTemplatesInTitle" localSheetId="37">[3]TEHSHEET!$J$45</definedName>
    <definedName name="NameTemplatesInTitle">TEHSHEET!$J$45</definedName>
    <definedName name="NameTemplatesInTitleList" localSheetId="38">[1]TEHSHEET!$J$46:$J$53</definedName>
    <definedName name="NameTemplatesInTitleList" localSheetId="39">[2]TEHSHEET!$J$46:$J$53</definedName>
    <definedName name="NameTemplatesInTitleList" localSheetId="40">[2]TEHSHEET!$J$46:$J$53</definedName>
    <definedName name="NameTemplatesInTitleList" localSheetId="1">[3]TEHSHEET!$J$46:$J$53</definedName>
    <definedName name="NameTemplatesInTitleList" localSheetId="36">[3]TEHSHEET!$J$46:$J$53</definedName>
    <definedName name="NameTemplatesInTitleList" localSheetId="37">[3]TEHSHEET!$J$46:$J$53</definedName>
    <definedName name="NameTemplatesInTitleList">TEHSHEET!$J$46:$J$53</definedName>
    <definedName name="NTAR_ID">TEHSHEET!$E$61</definedName>
    <definedName name="OFFER_DPR">Предложение!$L$82</definedName>
    <definedName name="OFFER_METHOD" localSheetId="38">[1]Предложение!$K$24:$K$80</definedName>
    <definedName name="OFFER_METHOD" localSheetId="39">[2]Предложение!$K$24:$K$80</definedName>
    <definedName name="OFFER_METHOD" localSheetId="40">[2]Предложение!$K$24:$K$80</definedName>
    <definedName name="OFFER_METHOD" localSheetId="1">[3]Предложение!$K$24:$K$80</definedName>
    <definedName name="OFFER_METHOD" localSheetId="36">[3]Предложение!$K$24:$K$80</definedName>
    <definedName name="OFFER_METHOD" localSheetId="37">[3]Предложение!$K$24:$K$80</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 localSheetId="39">[2]Титульный!$F$31</definedName>
    <definedName name="org" localSheetId="40">[2]Титульный!$F$31</definedName>
    <definedName name="org" localSheetId="1">[3]Титульный!$F$31</definedName>
    <definedName name="org" localSheetId="36">[3]Титульный!$F$31</definedName>
    <definedName name="org" localSheetId="37">[3]Титульный!$F$31</definedName>
    <definedName name="org">#REF!</definedName>
    <definedName name="Org_Address">#REF!</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 localSheetId="38">[1]DATA_FORMS!$C$4</definedName>
    <definedName name="ORG_INFO_NAME_FORM" localSheetId="39">[2]DATA_FORMS!$C$4</definedName>
    <definedName name="ORG_INFO_NAME_FORM" localSheetId="40">[2]DATA_FORMS!$C$4</definedName>
    <definedName name="ORG_INFO_NAME_FORM" localSheetId="1">[3]DATA_FORMS!$C$4</definedName>
    <definedName name="ORG_INFO_NAME_FORM" localSheetId="36">[3]DATA_FORMS!$C$4</definedName>
    <definedName name="ORG_INFO_NAME_FORM" localSheetId="37">[3]DATA_FORMS!$C$4</definedName>
    <definedName name="ORG_INFO_NAME_FORM">DATA_FORMS!$C$4</definedName>
    <definedName name="ORG_INFO_P_NOTE_MAIN" localSheetId="38">[1]DATA_NPA!$N$3</definedName>
    <definedName name="ORG_INFO_P_NOTE_MAIN" localSheetId="39">[2]DATA_NPA!$N$3</definedName>
    <definedName name="ORG_INFO_P_NOTE_MAIN" localSheetId="40">[2]DATA_NPA!$N$3</definedName>
    <definedName name="ORG_INFO_P_NOTE_MAIN" localSheetId="1">[3]DATA_NPA!$N$3</definedName>
    <definedName name="ORG_INFO_P_NOTE_MAIN" localSheetId="36">[3]DATA_NPA!$N$3</definedName>
    <definedName name="ORG_INFO_P_NOTE_MAIN" localSheetId="37">[3]DATA_NPA!$N$3</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#REF!</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 localSheetId="38">[1]DATA_FORMS!$C$31</definedName>
    <definedName name="ORG_VD_NAME_FORM" localSheetId="39">[2]DATA_FORMS!$C$31</definedName>
    <definedName name="ORG_VD_NAME_FORM" localSheetId="40">[2]DATA_FORMS!$C$31</definedName>
    <definedName name="ORG_VD_NAME_FORM" localSheetId="1">[3]DATA_FORMS!$C$31</definedName>
    <definedName name="ORG_VD_NAME_FORM" localSheetId="36">[3]DATA_FORMS!$C$31</definedName>
    <definedName name="ORG_VD_NAME_FORM" localSheetId="37">[3]DATA_FORMS!$C$31</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#REF!</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#REF!</definedName>
    <definedName name="pDel_DIFFERENTIATION_AREA" localSheetId="39">'ГВС 2'!$G$12:$G$16</definedName>
    <definedName name="pDel_DIFFERENTIATION_AREA" localSheetId="1">'ТЭ+Теплоноситель 2'!$G$12:$G$19</definedName>
    <definedName name="pDel_DIFFERENTIATION_AREA">#REF!</definedName>
    <definedName name="pDel_DIFFERENTIATION_SYSTEM" localSheetId="39">'ГВС 2'!$K$12:$K$16</definedName>
    <definedName name="pDel_DIFFERENTIATION_SYSTEM" localSheetId="1">'ТЭ+Теплоноситель 2'!$K$12:$K$19</definedName>
    <definedName name="pDel_DIFFERENTIATION_SYSTEM">#REF!</definedName>
    <definedName name="pDel_DIFFERENTIATION_VD" localSheetId="39">'ГВС 2'!$C$12:$C$16</definedName>
    <definedName name="pDel_DIFFERENTIATION_VD" localSheetId="1">'ТЭ+Теплоноситель 2'!$C$12:$C$19</definedName>
    <definedName name="pDel_DIFFERENTIATION_VD">#REF!</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 localSheetId="38">'ГВС 1'!$C$12:$C$15</definedName>
    <definedName name="pDel_LT_AREA">'ТЭ+Теплоноситель 1'!$C$12:$C$15</definedName>
    <definedName name="pDel_LT_MO" localSheetId="38">'ГВС 1'!$D$11:$D$15</definedName>
    <definedName name="pDel_LT_MO">'ТЭ+Теплоноситель 1'!$D$11:$D$15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#REF!</definedName>
    <definedName name="PeriodIsEmpty">TEHSHEET!$I$45</definedName>
    <definedName name="PeriodIsEmptyList" localSheetId="38">[1]TEHSHEET!$I$46:$I$53</definedName>
    <definedName name="PeriodIsEmptyList" localSheetId="39">[2]TEHSHEET!$I$46:$I$53</definedName>
    <definedName name="PeriodIsEmptyList" localSheetId="40">[2]TEHSHEET!$I$46:$I$53</definedName>
    <definedName name="PeriodIsEmptyList" localSheetId="1">[3]TEHSHEET!$I$46:$I$53</definedName>
    <definedName name="PeriodIsEmptyList" localSheetId="36">[3]TEHSHEET!$I$46:$I$53</definedName>
    <definedName name="PeriodIsEmptyList" localSheetId="37">[3]TEHSHEET!$I$46:$I$53</definedName>
    <definedName name="PeriodIsEmptyList">TEHSHEET!$I$46:$I$53</definedName>
    <definedName name="periodStart">#REF!</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 localSheetId="36">'ТЭ+Теплоноситель 3'!$30:$30</definedName>
    <definedName name="pHeader_Q_LIMIT">#REF!</definedName>
    <definedName name="pHeader_Q_PH">'Потребительские характеристики'!$13:$13</definedName>
    <definedName name="pHeader_Q_TP" localSheetId="40">'ГВС 3'!$13:$13</definedName>
    <definedName name="pHeader_Q_TP" localSheetId="37">'ТЭ+Теплоноситель 4'!$13:$13</definedName>
    <definedName name="pHeader_Q_TP">#REF!</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 localSheetId="36">'ТЭ+Теплоноситель 3'!$E:$E</definedName>
    <definedName name="pHeader_ver_Q_LIMIT">#REF!</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#REF!</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 localSheetId="38">'ГВС 1'!$G$15</definedName>
    <definedName name="pIns_LT_AREA">'ТЭ+Теплоноситель 1'!$G$15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 localSheetId="36">'ТЭ+Теплоноситель 3'!$E$33</definedName>
    <definedName name="pIns_Q_LIMIT_1">#REF!</definedName>
    <definedName name="pIns_Q_LIMIT_2" localSheetId="36">'ТЭ+Теплоноситель 3'!$E$35</definedName>
    <definedName name="pIns_Q_LIMIT_2">#REF!</definedName>
    <definedName name="pIns_Q_LIMIT_3" localSheetId="36">'ТЭ+Теплоноситель 3'!$E$37</definedName>
    <definedName name="pIns_Q_LIMIT_3">#REF!</definedName>
    <definedName name="pIns_Q_LIMIT_4" localSheetId="36">'ТЭ+Теплоноситель 3'!$E$39</definedName>
    <definedName name="pIns_Q_LIMIT_4">#REF!</definedName>
    <definedName name="pIns_Q_LIMIT_DIFFERENTIATION" localSheetId="36">'ТЭ+Теплоноситель 3'!$M$25</definedName>
    <definedName name="pIns_Q_LIMIT_DIFFERENTIATION">#REF!</definedName>
    <definedName name="pIns_Q_PH_DIFFERENTIATION">'Потребительские характеристики'!$M$8</definedName>
    <definedName name="pIns_Q_TP_1" localSheetId="40">'ГВС 3'!$E$22</definedName>
    <definedName name="pIns_Q_TP_1" localSheetId="37">'ТЭ+Теплоноситель 4'!$E$22</definedName>
    <definedName name="pIns_Q_TP_1">#REF!</definedName>
    <definedName name="pIns_Q_TP_DIFFERENTIATION" localSheetId="40">'ГВС 3'!$I$8</definedName>
    <definedName name="pIns_Q_TP_DIFFERENTIATION" localSheetId="37">'ТЭ+Теплоноситель 4'!$J$8</definedName>
    <definedName name="pIns_Q_TP_DIFFERENTIATION">#REF!</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 localSheetId="36">'ТЭ+Теплоноситель 3'!$M$26</definedName>
    <definedName name="pNote_LIMIT">#REF!</definedName>
    <definedName name="pNote_Q_PH">'Потребительские характеристики'!$M$9</definedName>
    <definedName name="PROCEDURE_TC_NAME_FORM" localSheetId="38">[1]DATA_FORMS!$C$30</definedName>
    <definedName name="PROCEDURE_TC_NAME_FORM" localSheetId="39">[2]DATA_FORMS!$C$30</definedName>
    <definedName name="PROCEDURE_TC_NAME_FORM" localSheetId="40">[2]DATA_FORMS!$C$30</definedName>
    <definedName name="PROCEDURE_TC_NAME_FORM" localSheetId="1">[3]DATA_FORMS!$C$30</definedName>
    <definedName name="PROCEDURE_TC_NAME_FORM" localSheetId="36">[3]DATA_FORMS!$C$30</definedName>
    <definedName name="PROCEDURE_TC_NAME_FORM" localSheetId="37">[3]DATA_FORMS!$C$30</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 localSheetId="38">'[1]Перечень тарифов'!$AL$12:$AL$122</definedName>
    <definedName name="PT_DIFFERENTIATION_CS" localSheetId="39">'[2]Перечень тарифов'!$AL$12:$AL$122</definedName>
    <definedName name="PT_DIFFERENTIATION_CS" localSheetId="40">'[2]Перечень тарифов'!$AL$12:$AL$122</definedName>
    <definedName name="PT_DIFFERENTIATION_CS" localSheetId="1">'[3]Перечень тарифов'!$AL$12:$AL$122</definedName>
    <definedName name="PT_DIFFERENTIATION_CS" localSheetId="36">'[3]Перечень тарифов'!$AL$12:$AL$122</definedName>
    <definedName name="PT_DIFFERENTIATION_CS" localSheetId="37">'[3]Перечень тарифов'!$AL$12:$AL$122</definedName>
    <definedName name="PT_DIFFERENTIATION_CS">'Перечень тарифов'!$AL$12:$AL$122</definedName>
    <definedName name="PT_DIFFERENTIATION_CS_ID" localSheetId="38">'[1]Перечень тарифов'!$AF$12:$AF$122</definedName>
    <definedName name="PT_DIFFERENTIATION_CS_ID" localSheetId="39">'[2]Перечень тарифов'!$AF$12:$AF$122</definedName>
    <definedName name="PT_DIFFERENTIATION_CS_ID" localSheetId="40">'[2]Перечень тарифов'!$AF$12:$AF$122</definedName>
    <definedName name="PT_DIFFERENTIATION_CS_ID" localSheetId="1">'[3]Перечень тарифов'!$AF$12:$AF$122</definedName>
    <definedName name="PT_DIFFERENTIATION_CS_ID" localSheetId="36">'[3]Перечень тарифов'!$AF$12:$AF$122</definedName>
    <definedName name="PT_DIFFERENTIATION_CS_ID" localSheetId="37">'[3]Перечень тарифов'!$AF$12:$AF$122</definedName>
    <definedName name="PT_DIFFERENTIATION_CS_ID">'Перечень тарифов'!$AF$12:$AF$122</definedName>
    <definedName name="PT_DIFFERENTIATION_IST_TE" localSheetId="38">'[1]Перечень тарифов'!$AM$12:$AM$122</definedName>
    <definedName name="PT_DIFFERENTIATION_IST_TE" localSheetId="39">'[2]Перечень тарифов'!$AM$12:$AM$122</definedName>
    <definedName name="PT_DIFFERENTIATION_IST_TE" localSheetId="40">'[2]Перечень тарифов'!$AM$12:$AM$122</definedName>
    <definedName name="PT_DIFFERENTIATION_IST_TE" localSheetId="1">'[3]Перечень тарифов'!$AM$12:$AM$122</definedName>
    <definedName name="PT_DIFFERENTIATION_IST_TE" localSheetId="36">'[3]Перечень тарифов'!$AM$12:$AM$122</definedName>
    <definedName name="PT_DIFFERENTIATION_IST_TE" localSheetId="37">'[3]Перечень тарифов'!$AM$12:$AM$122</definedName>
    <definedName name="PT_DIFFERENTIATION_IST_TE">'Перечень тарифов'!$AM$12:$AM$122</definedName>
    <definedName name="PT_DIFFERENTIATION_IST_TE_ID" localSheetId="38">'[1]Перечень тарифов'!$AG$12:$AG$122</definedName>
    <definedName name="PT_DIFFERENTIATION_IST_TE_ID" localSheetId="39">'[2]Перечень тарифов'!$AG$12:$AG$122</definedName>
    <definedName name="PT_DIFFERENTIATION_IST_TE_ID" localSheetId="40">'[2]Перечень тарифов'!$AG$12:$AG$122</definedName>
    <definedName name="PT_DIFFERENTIATION_IST_TE_ID" localSheetId="1">'[3]Перечень тарифов'!$AG$12:$AG$122</definedName>
    <definedName name="PT_DIFFERENTIATION_IST_TE_ID" localSheetId="36">'[3]Перечень тарифов'!$AG$12:$AG$122</definedName>
    <definedName name="PT_DIFFERENTIATION_IST_TE_ID" localSheetId="37">'[3]Перечень тарифов'!$AG$12:$AG$122</definedName>
    <definedName name="PT_DIFFERENTIATION_IST_TE_ID">'Перечень тарифов'!$AG$12:$AG$122</definedName>
    <definedName name="PT_DIFFERENTIATION_NTAR" localSheetId="38">'[1]Перечень тарифов'!$AJ$12:$AJ$122</definedName>
    <definedName name="PT_DIFFERENTIATION_NTAR" localSheetId="39">'[2]Перечень тарифов'!$AJ$12:$AJ$122</definedName>
    <definedName name="PT_DIFFERENTIATION_NTAR" localSheetId="40">'[2]Перечень тарифов'!$AJ$12:$AJ$122</definedName>
    <definedName name="PT_DIFFERENTIATION_NTAR" localSheetId="1">'[3]Перечень тарифов'!$AJ$12:$AJ$122</definedName>
    <definedName name="PT_DIFFERENTIATION_NTAR" localSheetId="36">'[3]Перечень тарифов'!$AJ$12:$AJ$122</definedName>
    <definedName name="PT_DIFFERENTIATION_NTAR" localSheetId="37">'[3]Перечень тарифов'!$AJ$12:$AJ$122</definedName>
    <definedName name="PT_DIFFERENTIATION_NTAR">'Перечень тарифов'!$AJ$12:$AJ$122</definedName>
    <definedName name="PT_DIFFERENTIATION_NTAR_ID" localSheetId="38">'[1]Перечень тарифов'!$AD$12:$AD$122</definedName>
    <definedName name="PT_DIFFERENTIATION_NTAR_ID" localSheetId="39">'[2]Перечень тарифов'!$AD$12:$AD$122</definedName>
    <definedName name="PT_DIFFERENTIATION_NTAR_ID" localSheetId="40">'[2]Перечень тарифов'!$AD$12:$AD$122</definedName>
    <definedName name="PT_DIFFERENTIATION_NTAR_ID" localSheetId="1">'[3]Перечень тарифов'!$AD$12:$AD$122</definedName>
    <definedName name="PT_DIFFERENTIATION_NTAR_ID" localSheetId="36">'[3]Перечень тарифов'!$AD$12:$AD$122</definedName>
    <definedName name="PT_DIFFERENTIATION_NTAR_ID" localSheetId="37">'[3]Перечень тарифов'!$AD$12:$AD$122</definedName>
    <definedName name="PT_DIFFERENTIATION_NTAR_ID">'Перечень тарифов'!$AD$12:$AD$122</definedName>
    <definedName name="PT_DIFFERENTIATION_NUM_CS" localSheetId="38">'[1]Перечень тарифов'!$AP$12:$AP$122</definedName>
    <definedName name="PT_DIFFERENTIATION_NUM_CS" localSheetId="39">'[2]Перечень тарифов'!$AP$12:$AP$122</definedName>
    <definedName name="PT_DIFFERENTIATION_NUM_CS" localSheetId="40">'[2]Перечень тарифов'!$AP$12:$AP$122</definedName>
    <definedName name="PT_DIFFERENTIATION_NUM_CS" localSheetId="1">'[3]Перечень тарифов'!$AP$12:$AP$122</definedName>
    <definedName name="PT_DIFFERENTIATION_NUM_CS" localSheetId="36">'[3]Перечень тарифов'!$AP$12:$AP$122</definedName>
    <definedName name="PT_DIFFERENTIATION_NUM_CS" localSheetId="37">'[3]Перечень тарифов'!$AP$12:$AP$122</definedName>
    <definedName name="PT_DIFFERENTIATION_NUM_CS">'Перечень тарифов'!$AP$12:$AP$122</definedName>
    <definedName name="PT_DIFFERENTIATION_NUM_IST_TE" localSheetId="38">'[1]Перечень тарифов'!$AQ$12:$AQ$122</definedName>
    <definedName name="PT_DIFFERENTIATION_NUM_IST_TE" localSheetId="39">'[2]Перечень тарифов'!$AQ$12:$AQ$122</definedName>
    <definedName name="PT_DIFFERENTIATION_NUM_IST_TE" localSheetId="40">'[2]Перечень тарифов'!$AQ$12:$AQ$122</definedName>
    <definedName name="PT_DIFFERENTIATION_NUM_IST_TE" localSheetId="1">'[3]Перечень тарифов'!$AQ$12:$AQ$122</definedName>
    <definedName name="PT_DIFFERENTIATION_NUM_IST_TE" localSheetId="36">'[3]Перечень тарифов'!$AQ$12:$AQ$122</definedName>
    <definedName name="PT_DIFFERENTIATION_NUM_IST_TE" localSheetId="37">'[3]Перечень тарифов'!$AQ$12:$AQ$122</definedName>
    <definedName name="PT_DIFFERENTIATION_NUM_IST_TE">'Перечень тарифов'!$AQ$12:$AQ$122</definedName>
    <definedName name="PT_DIFFERENTIATION_NUM_NTAR" localSheetId="38">'[1]Перечень тарифов'!$AN$12:$AN$122</definedName>
    <definedName name="PT_DIFFERENTIATION_NUM_NTAR" localSheetId="39">'[2]Перечень тарифов'!$AN$12:$AN$122</definedName>
    <definedName name="PT_DIFFERENTIATION_NUM_NTAR" localSheetId="40">'[2]Перечень тарифов'!$AN$12:$AN$122</definedName>
    <definedName name="PT_DIFFERENTIATION_NUM_NTAR" localSheetId="1">'[3]Перечень тарифов'!$AN$12:$AN$122</definedName>
    <definedName name="PT_DIFFERENTIATION_NUM_NTAR" localSheetId="36">'[3]Перечень тарифов'!$AN$12:$AN$122</definedName>
    <definedName name="PT_DIFFERENTIATION_NUM_NTAR" localSheetId="37">'[3]Перечень тарифов'!$AN$12:$AN$122</definedName>
    <definedName name="PT_DIFFERENTIATION_NUM_NTAR">'Перечень тарифов'!$AN$12:$AN$122</definedName>
    <definedName name="PT_DIFFERENTIATION_NUM_TER" localSheetId="38">'[1]Перечень тарифов'!$AO$12:$AO$122</definedName>
    <definedName name="PT_DIFFERENTIATION_NUM_TER" localSheetId="39">'[2]Перечень тарифов'!$AO$12:$AO$122</definedName>
    <definedName name="PT_DIFFERENTIATION_NUM_TER" localSheetId="40">'[2]Перечень тарифов'!$AO$12:$AO$122</definedName>
    <definedName name="PT_DIFFERENTIATION_NUM_TER" localSheetId="1">'[3]Перечень тарифов'!$AO$12:$AO$122</definedName>
    <definedName name="PT_DIFFERENTIATION_NUM_TER" localSheetId="36">'[3]Перечень тарифов'!$AO$12:$AO$122</definedName>
    <definedName name="PT_DIFFERENTIATION_NUM_TER" localSheetId="37">'[3]Перечень тарифов'!$AO$12:$AO$122</definedName>
    <definedName name="PT_DIFFERENTIATION_NUM_TER">'Перечень тарифов'!$AO$12:$AO$122</definedName>
    <definedName name="PT_DIFFERENTIATION_TER" localSheetId="38">'[1]Перечень тарифов'!$AK$12:$AK$122</definedName>
    <definedName name="PT_DIFFERENTIATION_TER" localSheetId="39">'[2]Перечень тарифов'!$AK$12:$AK$122</definedName>
    <definedName name="PT_DIFFERENTIATION_TER" localSheetId="40">'[2]Перечень тарифов'!$AK$12:$AK$122</definedName>
    <definedName name="PT_DIFFERENTIATION_TER" localSheetId="1">'[3]Перечень тарифов'!$AK$12:$AK$122</definedName>
    <definedName name="PT_DIFFERENTIATION_TER" localSheetId="36">'[3]Перечень тарифов'!$AK$12:$AK$122</definedName>
    <definedName name="PT_DIFFERENTIATION_TER" localSheetId="37">'[3]Перечень тарифов'!$AK$12:$AK$122</definedName>
    <definedName name="PT_DIFFERENTIATION_TER">'Перечень тарифов'!$AK$12:$AK$122</definedName>
    <definedName name="PT_DIFFERENTIATION_TER_ID" localSheetId="38">'[1]Перечень тарифов'!$AE$12:$AE$122</definedName>
    <definedName name="PT_DIFFERENTIATION_TER_ID" localSheetId="39">'[2]Перечень тарифов'!$AE$12:$AE$122</definedName>
    <definedName name="PT_DIFFERENTIATION_TER_ID" localSheetId="40">'[2]Перечень тарифов'!$AE$12:$AE$122</definedName>
    <definedName name="PT_DIFFERENTIATION_TER_ID" localSheetId="1">'[3]Перечень тарифов'!$AE$12:$AE$122</definedName>
    <definedName name="PT_DIFFERENTIATION_TER_ID" localSheetId="36">'[3]Перечень тарифов'!$AE$12:$AE$122</definedName>
    <definedName name="PT_DIFFERENTIATION_TER_ID" localSheetId="37">'[3]Перечень тарифов'!$AE$12:$AE$122</definedName>
    <definedName name="PT_DIFFERENTIATION_TER_ID">'Перечень тарифов'!$AE$12:$AE$122</definedName>
    <definedName name="PT_DIFFERENTIATION_VDET">'Перечень тарифов'!$AI$12:$AI$122</definedName>
    <definedName name="PT_DIFFERENTIATION_VTAR" localSheetId="38">'[1]Перечень тарифов'!$AH$12:$AH$122</definedName>
    <definedName name="PT_DIFFERENTIATION_VTAR" localSheetId="39">'[2]Перечень тарифов'!$AH$12:$AH$122</definedName>
    <definedName name="PT_DIFFERENTIATION_VTAR" localSheetId="40">'[2]Перечень тарифов'!$AH$12:$AH$122</definedName>
    <definedName name="PT_DIFFERENTIATION_VTAR" localSheetId="1">'[3]Перечень тарифов'!$AH$12:$AH$122</definedName>
    <definedName name="PT_DIFFERENTIATION_VTAR" localSheetId="36">'[3]Перечень тарифов'!$AH$12:$AH$122</definedName>
    <definedName name="PT_DIFFERENTIATION_VTAR" localSheetId="37">'[3]Перечень тарифов'!$AH$12:$AH$122</definedName>
    <definedName name="PT_DIFFERENTIATION_VTAR">'Перечень тарифов'!$AH$12:$AH$122</definedName>
    <definedName name="PT_DIFFERENTIATION_VTAR_ID" localSheetId="38">'[1]Перечень тарифов'!$AC$12:$AC$122</definedName>
    <definedName name="PT_DIFFERENTIATION_VTAR_ID" localSheetId="39">'[2]Перечень тарифов'!$AC$12:$AC$122</definedName>
    <definedName name="PT_DIFFERENTIATION_VTAR_ID" localSheetId="40">'[2]Перечень тарифов'!$AC$12:$AC$122</definedName>
    <definedName name="PT_DIFFERENTIATION_VTAR_ID" localSheetId="1">'[3]Перечень тарифов'!$AC$12:$AC$122</definedName>
    <definedName name="PT_DIFFERENTIATION_VTAR_ID" localSheetId="36">'[3]Перечень тарифов'!$AC$12:$AC$122</definedName>
    <definedName name="PT_DIFFERENTIATION_VTAR_ID" localSheetId="37">'[3]Перечень тарифов'!$AC$12:$AC$122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 localSheetId="38">[1]DATA_FORMS!$C$17</definedName>
    <definedName name="PT_P_FORM_COLDVSNA_4_NAME_FORM" localSheetId="39">[2]DATA_FORMS!$C$17</definedName>
    <definedName name="PT_P_FORM_COLDVSNA_4_NAME_FORM" localSheetId="40">[2]DATA_FORMS!$C$17</definedName>
    <definedName name="PT_P_FORM_COLDVSNA_4_NAME_FORM" localSheetId="1">[3]DATA_FORMS!$C$17</definedName>
    <definedName name="PT_P_FORM_COLDVSNA_4_NAME_FORM" localSheetId="36">[3]DATA_FORMS!$C$17</definedName>
    <definedName name="PT_P_FORM_COLDVSNA_4_NAME_FORM" localSheetId="37">[3]DATA_FORMS!$C$17</definedName>
    <definedName name="PT_P_FORM_COLDVSNA_4_NAME_FORM">DATA_FORMS!$C$17</definedName>
    <definedName name="PT_P_FORM_COLDVSNA_5_NAME_FORM" localSheetId="38">[1]DATA_FORMS!$C$18</definedName>
    <definedName name="PT_P_FORM_COLDVSNA_5_NAME_FORM" localSheetId="39">[2]DATA_FORMS!$C$18</definedName>
    <definedName name="PT_P_FORM_COLDVSNA_5_NAME_FORM" localSheetId="40">[2]DATA_FORMS!$C$18</definedName>
    <definedName name="PT_P_FORM_COLDVSNA_5_NAME_FORM" localSheetId="1">[3]DATA_FORMS!$C$18</definedName>
    <definedName name="PT_P_FORM_COLDVSNA_5_NAME_FORM" localSheetId="36">[3]DATA_FORMS!$C$18</definedName>
    <definedName name="PT_P_FORM_COLDVSNA_5_NAME_FORM" localSheetId="37">[3]DATA_FORMS!$C$18</definedName>
    <definedName name="PT_P_FORM_COLDVSNA_5_NAME_FORM">DATA_FORMS!$C$18</definedName>
    <definedName name="PT_P_FORM_HEAT_21_NAME_FORM">DATA_FORMS!$C$13</definedName>
    <definedName name="PT_P_FORM_HEAT_22_NAME_FORM">DATA_FORMS!$C$14</definedName>
    <definedName name="PT_P_FORM_HEAT_4_NAME_FORM" localSheetId="38">[1]DATA_FORMS!$C$9</definedName>
    <definedName name="PT_P_FORM_HEAT_4_NAME_FORM" localSheetId="39">[2]DATA_FORMS!$C$9</definedName>
    <definedName name="PT_P_FORM_HEAT_4_NAME_FORM" localSheetId="40">[2]DATA_FORMS!$C$9</definedName>
    <definedName name="PT_P_FORM_HEAT_4_NAME_FORM" localSheetId="1">[3]DATA_FORMS!$C$9</definedName>
    <definedName name="PT_P_FORM_HEAT_4_NAME_FORM" localSheetId="36">[3]DATA_FORMS!$C$9</definedName>
    <definedName name="PT_P_FORM_HEAT_4_NAME_FORM" localSheetId="37">[3]DATA_FORMS!$C$9</definedName>
    <definedName name="PT_P_FORM_HEAT_4_NAME_FORM">DATA_FORMS!$C$9</definedName>
    <definedName name="PT_P_FORM_HEAT_5_NAME_FORM" localSheetId="38">[1]DATA_FORMS!$C$10</definedName>
    <definedName name="PT_P_FORM_HEAT_5_NAME_FORM" localSheetId="39">[2]DATA_FORMS!$C$10</definedName>
    <definedName name="PT_P_FORM_HEAT_5_NAME_FORM" localSheetId="40">[2]DATA_FORMS!$C$10</definedName>
    <definedName name="PT_P_FORM_HEAT_5_NAME_FORM" localSheetId="1">[3]DATA_FORMS!$C$10</definedName>
    <definedName name="PT_P_FORM_HEAT_5_NAME_FORM" localSheetId="36">[3]DATA_FORMS!$C$10</definedName>
    <definedName name="PT_P_FORM_HEAT_5_NAME_FORM" localSheetId="37">[3]DATA_FORMS!$C$10</definedName>
    <definedName name="PT_P_FORM_HEAT_5_NAME_FORM">DATA_FORMS!$C$10</definedName>
    <definedName name="PT_P_FORM_HEAT_6_NAME_FORM" localSheetId="38">[1]DATA_FORMS!$C$11</definedName>
    <definedName name="PT_P_FORM_HEAT_6_NAME_FORM" localSheetId="39">[2]DATA_FORMS!$C$11</definedName>
    <definedName name="PT_P_FORM_HEAT_6_NAME_FORM" localSheetId="40">[2]DATA_FORMS!$C$11</definedName>
    <definedName name="PT_P_FORM_HEAT_6_NAME_FORM" localSheetId="1">[3]DATA_FORMS!$C$11</definedName>
    <definedName name="PT_P_FORM_HEAT_6_NAME_FORM" localSheetId="36">[3]DATA_FORMS!$C$11</definedName>
    <definedName name="PT_P_FORM_HEAT_6_NAME_FORM" localSheetId="37">[3]DATA_FORMS!$C$11</definedName>
    <definedName name="PT_P_FORM_HEAT_6_NAME_FORM">DATA_FORMS!$C$11</definedName>
    <definedName name="PT_P_FORM_HEAT_7_NAME_FORM" localSheetId="38">[1]DATA_FORMS!$C$12</definedName>
    <definedName name="PT_P_FORM_HEAT_7_NAME_FORM" localSheetId="39">[2]DATA_FORMS!$C$12</definedName>
    <definedName name="PT_P_FORM_HEAT_7_NAME_FORM" localSheetId="40">[2]DATA_FORMS!$C$12</definedName>
    <definedName name="PT_P_FORM_HEAT_7_NAME_FORM" localSheetId="1">[3]DATA_FORMS!$C$12</definedName>
    <definedName name="PT_P_FORM_HEAT_7_NAME_FORM" localSheetId="36">[3]DATA_FORMS!$C$12</definedName>
    <definedName name="PT_P_FORM_HEAT_7_NAME_FORM" localSheetId="37">[3]DATA_FORMS!$C$12</definedName>
    <definedName name="PT_P_FORM_HEAT_7_NAME_FORM">DATA_FORMS!$C$12</definedName>
    <definedName name="PT_P_FORM_HOTVSNA_4_NAME_FORM" localSheetId="38">[1]DATA_FORMS!$C$21</definedName>
    <definedName name="PT_P_FORM_HOTVSNA_4_NAME_FORM" localSheetId="39">[2]DATA_FORMS!$C$21</definedName>
    <definedName name="PT_P_FORM_HOTVSNA_4_NAME_FORM" localSheetId="40">[2]DATA_FORMS!$C$21</definedName>
    <definedName name="PT_P_FORM_HOTVSNA_4_NAME_FORM" localSheetId="1">[3]DATA_FORMS!$C$21</definedName>
    <definedName name="PT_P_FORM_HOTVSNA_4_NAME_FORM" localSheetId="36">[3]DATA_FORMS!$C$21</definedName>
    <definedName name="PT_P_FORM_HOTVSNA_4_NAME_FORM" localSheetId="37">[3]DATA_FORMS!$C$21</definedName>
    <definedName name="PT_P_FORM_HOTVSNA_4_NAME_FORM">DATA_FORMS!$C$21</definedName>
    <definedName name="PT_P_FORM_HOTVSNA_5_NAME_FORM" localSheetId="38">[1]DATA_FORMS!$C$22</definedName>
    <definedName name="PT_P_FORM_HOTVSNA_5_NAME_FORM" localSheetId="39">[2]DATA_FORMS!$C$22</definedName>
    <definedName name="PT_P_FORM_HOTVSNA_5_NAME_FORM" localSheetId="40">[2]DATA_FORMS!$C$22</definedName>
    <definedName name="PT_P_FORM_HOTVSNA_5_NAME_FORM" localSheetId="1">[3]DATA_FORMS!$C$22</definedName>
    <definedName name="PT_P_FORM_HOTVSNA_5_NAME_FORM" localSheetId="36">[3]DATA_FORMS!$C$22</definedName>
    <definedName name="PT_P_FORM_HOTVSNA_5_NAME_FORM" localSheetId="37">[3]DATA_FORMS!$C$22</definedName>
    <definedName name="PT_P_FORM_HOTVSNA_5_NAME_FORM">DATA_FORMS!$C$22</definedName>
    <definedName name="PT_P_FORM_VOTV_4_NAME_FORM" localSheetId="38">[1]DATA_FORMS!$C$25</definedName>
    <definedName name="PT_P_FORM_VOTV_4_NAME_FORM" localSheetId="39">[2]DATA_FORMS!$C$25</definedName>
    <definedName name="PT_P_FORM_VOTV_4_NAME_FORM" localSheetId="40">[2]DATA_FORMS!$C$25</definedName>
    <definedName name="PT_P_FORM_VOTV_4_NAME_FORM" localSheetId="1">[3]DATA_FORMS!$C$25</definedName>
    <definedName name="PT_P_FORM_VOTV_4_NAME_FORM" localSheetId="36">[3]DATA_FORMS!$C$25</definedName>
    <definedName name="PT_P_FORM_VOTV_4_NAME_FORM" localSheetId="37">[3]DATA_FORMS!$C$25</definedName>
    <definedName name="PT_P_FORM_VOTV_4_NAME_FORM">DATA_FORMS!$C$25</definedName>
    <definedName name="PT_P_FORM_VOTV_5_NAME_FORM" localSheetId="38">[1]DATA_FORMS!$C$26</definedName>
    <definedName name="PT_P_FORM_VOTV_5_NAME_FORM" localSheetId="39">[2]DATA_FORMS!$C$26</definedName>
    <definedName name="PT_P_FORM_VOTV_5_NAME_FORM" localSheetId="40">[2]DATA_FORMS!$C$26</definedName>
    <definedName name="PT_P_FORM_VOTV_5_NAME_FORM" localSheetId="1">[3]DATA_FORMS!$C$26</definedName>
    <definedName name="PT_P_FORM_VOTV_5_NAME_FORM" localSheetId="36">[3]DATA_FORMS!$C$26</definedName>
    <definedName name="PT_P_FORM_VOTV_5_NAME_FORM" localSheetId="37">[3]DATA_FORMS!$C$26</definedName>
    <definedName name="PT_P_FORM_VOTV_5_NAME_FORM">DATA_FORMS!$C$26</definedName>
    <definedName name="PT_R_FORM_COLDVSNA_16_NAME_FORM" localSheetId="38">[1]DATA_FORMS!$C$19</definedName>
    <definedName name="PT_R_FORM_COLDVSNA_16_NAME_FORM" localSheetId="39">[2]DATA_FORMS!$C$19</definedName>
    <definedName name="PT_R_FORM_COLDVSNA_16_NAME_FORM" localSheetId="40">[2]DATA_FORMS!$C$19</definedName>
    <definedName name="PT_R_FORM_COLDVSNA_16_NAME_FORM" localSheetId="1">[3]DATA_FORMS!$C$19</definedName>
    <definedName name="PT_R_FORM_COLDVSNA_16_NAME_FORM" localSheetId="36">[3]DATA_FORMS!$C$19</definedName>
    <definedName name="PT_R_FORM_COLDVSNA_16_NAME_FORM" localSheetId="37">[3]DATA_FORMS!$C$19</definedName>
    <definedName name="PT_R_FORM_COLDVSNA_16_NAME_FORM">DATA_FORMS!$C$19</definedName>
    <definedName name="PT_R_FORM_COLDVSNA_17_NAME_FORM" localSheetId="38">[1]DATA_FORMS!$C$20</definedName>
    <definedName name="PT_R_FORM_COLDVSNA_17_NAME_FORM" localSheetId="39">[2]DATA_FORMS!$C$20</definedName>
    <definedName name="PT_R_FORM_COLDVSNA_17_NAME_FORM" localSheetId="40">[2]DATA_FORMS!$C$20</definedName>
    <definedName name="PT_R_FORM_COLDVSNA_17_NAME_FORM" localSheetId="1">[3]DATA_FORMS!$C$20</definedName>
    <definedName name="PT_R_FORM_COLDVSNA_17_NAME_FORM" localSheetId="36">[3]DATA_FORMS!$C$20</definedName>
    <definedName name="PT_R_FORM_COLDVSNA_17_NAME_FORM" localSheetId="37">[3]DATA_FORMS!$C$20</definedName>
    <definedName name="PT_R_FORM_COLDVSNA_17_NAME_FORM">DATA_FORMS!$C$20</definedName>
    <definedName name="PT_R_FORM_HEAT_21_NAME_FORM" localSheetId="38">[1]DATA_FORMS!$C$13</definedName>
    <definedName name="PT_R_FORM_HEAT_21_NAME_FORM" localSheetId="39">[2]DATA_FORMS!$C$13</definedName>
    <definedName name="PT_R_FORM_HEAT_21_NAME_FORM" localSheetId="40">[2]DATA_FORMS!$C$13</definedName>
    <definedName name="PT_R_FORM_HEAT_21_NAME_FORM" localSheetId="1">[3]DATA_FORMS!$C$13</definedName>
    <definedName name="PT_R_FORM_HEAT_21_NAME_FORM" localSheetId="36">[3]DATA_FORMS!$C$13</definedName>
    <definedName name="PT_R_FORM_HEAT_21_NAME_FORM" localSheetId="37">[3]DATA_FORMS!$C$13</definedName>
    <definedName name="PT_R_FORM_HEAT_21_NAME_FORM">DATA_FORMS!$C$13</definedName>
    <definedName name="PT_R_FORM_HEAT_22_NAME_FORM" localSheetId="38">[1]DATA_FORMS!$C$14</definedName>
    <definedName name="PT_R_FORM_HEAT_22_NAME_FORM" localSheetId="39">[2]DATA_FORMS!$C$14</definedName>
    <definedName name="PT_R_FORM_HEAT_22_NAME_FORM" localSheetId="40">[2]DATA_FORMS!$C$14</definedName>
    <definedName name="PT_R_FORM_HEAT_22_NAME_FORM" localSheetId="1">[3]DATA_FORMS!$C$14</definedName>
    <definedName name="PT_R_FORM_HEAT_22_NAME_FORM" localSheetId="36">[3]DATA_FORMS!$C$14</definedName>
    <definedName name="PT_R_FORM_HEAT_22_NAME_FORM" localSheetId="37">[3]DATA_FORMS!$C$14</definedName>
    <definedName name="PT_R_FORM_HEAT_22_NAME_FORM">DATA_FORMS!$C$14</definedName>
    <definedName name="PT_R_FORM_HEAT_23_NAME_FORM" localSheetId="38">[1]DATA_FORMS!$C$15</definedName>
    <definedName name="PT_R_FORM_HEAT_23_NAME_FORM" localSheetId="39">[2]DATA_FORMS!$C$15</definedName>
    <definedName name="PT_R_FORM_HEAT_23_NAME_FORM" localSheetId="40">[2]DATA_FORMS!$C$15</definedName>
    <definedName name="PT_R_FORM_HEAT_23_NAME_FORM" localSheetId="1">[3]DATA_FORMS!$C$15</definedName>
    <definedName name="PT_R_FORM_HEAT_23_NAME_FORM" localSheetId="36">[3]DATA_FORMS!$C$15</definedName>
    <definedName name="PT_R_FORM_HEAT_23_NAME_FORM" localSheetId="37">[3]DATA_FORMS!$C$15</definedName>
    <definedName name="PT_R_FORM_HEAT_23_NAME_FORM">DATA_FORMS!$C$15</definedName>
    <definedName name="PT_R_FORM_HEAT_24_NAME_FORM" localSheetId="38">[1]DATA_FORMS!$C$16</definedName>
    <definedName name="PT_R_FORM_HEAT_24_NAME_FORM" localSheetId="39">[2]DATA_FORMS!$C$16</definedName>
    <definedName name="PT_R_FORM_HEAT_24_NAME_FORM" localSheetId="40">[2]DATA_FORMS!$C$16</definedName>
    <definedName name="PT_R_FORM_HEAT_24_NAME_FORM" localSheetId="1">[3]DATA_FORMS!$C$16</definedName>
    <definedName name="PT_R_FORM_HEAT_24_NAME_FORM" localSheetId="36">[3]DATA_FORMS!$C$16</definedName>
    <definedName name="PT_R_FORM_HEAT_24_NAME_FORM" localSheetId="37">[3]DATA_FORMS!$C$16</definedName>
    <definedName name="PT_R_FORM_HEAT_24_NAME_FORM">DATA_FORMS!$C$16</definedName>
    <definedName name="PT_R_FORM_HOTVSNA_16_NAME_FORM" localSheetId="38">[1]DATA_FORMS!$C$23</definedName>
    <definedName name="PT_R_FORM_HOTVSNA_16_NAME_FORM" localSheetId="39">[2]DATA_FORMS!$C$23</definedName>
    <definedName name="PT_R_FORM_HOTVSNA_16_NAME_FORM" localSheetId="40">[2]DATA_FORMS!$C$23</definedName>
    <definedName name="PT_R_FORM_HOTVSNA_16_NAME_FORM" localSheetId="1">[3]DATA_FORMS!$C$23</definedName>
    <definedName name="PT_R_FORM_HOTVSNA_16_NAME_FORM" localSheetId="36">[3]DATA_FORMS!$C$23</definedName>
    <definedName name="PT_R_FORM_HOTVSNA_16_NAME_FORM" localSheetId="37">[3]DATA_FORMS!$C$23</definedName>
    <definedName name="PT_R_FORM_HOTVSNA_16_NAME_FORM">DATA_FORMS!$C$23</definedName>
    <definedName name="PT_R_FORM_HOTVSNA_17_NAME_FORM" localSheetId="38">[1]DATA_FORMS!$C$24</definedName>
    <definedName name="PT_R_FORM_HOTVSNA_17_NAME_FORM" localSheetId="39">[2]DATA_FORMS!$C$24</definedName>
    <definedName name="PT_R_FORM_HOTVSNA_17_NAME_FORM" localSheetId="40">[2]DATA_FORMS!$C$24</definedName>
    <definedName name="PT_R_FORM_HOTVSNA_17_NAME_FORM" localSheetId="1">[3]DATA_FORMS!$C$24</definedName>
    <definedName name="PT_R_FORM_HOTVSNA_17_NAME_FORM" localSheetId="36">[3]DATA_FORMS!$C$24</definedName>
    <definedName name="PT_R_FORM_HOTVSNA_17_NAME_FORM" localSheetId="37">[3]DATA_FORMS!$C$24</definedName>
    <definedName name="PT_R_FORM_HOTVSNA_17_NAME_FORM">DATA_FORMS!$C$24</definedName>
    <definedName name="PT_R_FORM_VOTV_16_NAME_FORM" localSheetId="38">[1]DATA_FORMS!$C$27</definedName>
    <definedName name="PT_R_FORM_VOTV_16_NAME_FORM" localSheetId="39">[2]DATA_FORMS!$C$27</definedName>
    <definedName name="PT_R_FORM_VOTV_16_NAME_FORM" localSheetId="40">[2]DATA_FORMS!$C$27</definedName>
    <definedName name="PT_R_FORM_VOTV_16_NAME_FORM" localSheetId="1">[3]DATA_FORMS!$C$27</definedName>
    <definedName name="PT_R_FORM_VOTV_16_NAME_FORM" localSheetId="36">[3]DATA_FORMS!$C$27</definedName>
    <definedName name="PT_R_FORM_VOTV_16_NAME_FORM" localSheetId="37">[3]DATA_FORMS!$C$27</definedName>
    <definedName name="PT_R_FORM_VOTV_16_NAME_FORM">DATA_FORMS!$C$27</definedName>
    <definedName name="PT_R_FORM_VOTV_17_NAME_FORM" localSheetId="38">[1]DATA_FORMS!$C$28</definedName>
    <definedName name="PT_R_FORM_VOTV_17_NAME_FORM" localSheetId="39">[2]DATA_FORMS!$C$28</definedName>
    <definedName name="PT_R_FORM_VOTV_17_NAME_FORM" localSheetId="40">[2]DATA_FORMS!$C$28</definedName>
    <definedName name="PT_R_FORM_VOTV_17_NAME_FORM" localSheetId="1">[3]DATA_FORMS!$C$28</definedName>
    <definedName name="PT_R_FORM_VOTV_17_NAME_FORM" localSheetId="36">[3]DATA_FORMS!$C$28</definedName>
    <definedName name="PT_R_FORM_VOTV_17_NAME_FORM" localSheetId="37">[3]DATA_FORMS!$C$28</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 localSheetId="38">[1]DATA_FORMS!$C$29</definedName>
    <definedName name="PURCH_NAME_FORM" localSheetId="39">[2]DATA_FORMS!$C$29</definedName>
    <definedName name="PURCH_NAME_FORM" localSheetId="40">[2]DATA_FORMS!$C$29</definedName>
    <definedName name="PURCH_NAME_FORM" localSheetId="1">[3]DATA_FORMS!$C$29</definedName>
    <definedName name="PURCH_NAME_FORM" localSheetId="36">[3]DATA_FORMS!$C$29</definedName>
    <definedName name="PURCH_NAME_FORM" localSheetId="37">[3]DATA_FORMS!$C$29</definedName>
    <definedName name="PURCH_NAME_FORM">DATA_FORMS!$C$29</definedName>
    <definedName name="Q_LIMIT_CheckC" localSheetId="36">'ТЭ+Теплоноситель 3'!$E$32:$M$39</definedName>
    <definedName name="Q_LIMIT_CheckC">#REF!</definedName>
    <definedName name="Q_LIMIT_diff_1" localSheetId="36">'ТЭ+Теплоноситель 3'!$I$26:$J$28</definedName>
    <definedName name="Q_LIMIT_diff_1">#REF!</definedName>
    <definedName name="Q_Limit_diff_66" localSheetId="36">'ТЭ+Теплоноситель 3'!$K$26:$L$28</definedName>
    <definedName name="Q_Limit_diff_66">#REF!</definedName>
    <definedName name="Q_LIMIT_p3" localSheetId="36">'ТЭ+Теплоноситель 3'!$F$36:$M$36</definedName>
    <definedName name="Q_LIMIT_p3">#REF!</definedName>
    <definedName name="Q_LIMIT_p4" localSheetId="36">'ТЭ+Теплоноситель 3'!$F$38:$M$38</definedName>
    <definedName name="Q_LIMIT_p4">#REF!</definedName>
    <definedName name="Q_PH_diff_1">'Потребительские характеристики'!$I$9:$J$11</definedName>
    <definedName name="Q_PH_diff_66">'Потребительские характеристики'!$K$9:$L$11</definedName>
    <definedName name="Q_TP_COUNT_REFUSAL" localSheetId="40">'ГВС 3'!$H$17:$H$17</definedName>
    <definedName name="Q_TP_COUNT_REFUSAL" localSheetId="37">'ТЭ+Теплоноситель 4'!$H$17:$H$17</definedName>
    <definedName name="Q_TP_COUNT_REFUSAL">#REF!</definedName>
    <definedName name="Q_TP_diff_1" localSheetId="40">'ГВС 3'!$H$9:$H$11</definedName>
    <definedName name="Q_TP_diff_1" localSheetId="37">'ТЭ+Теплоноситель 4'!$H$9:$H$11</definedName>
    <definedName name="Q_TP_diff_1">#REF!</definedName>
    <definedName name="Q_TP_diff_66" localSheetId="37">'ТЭ+Теплоноситель 4'!$I$9:$I$11</definedName>
    <definedName name="Q_TP_diff_66">#REF!</definedName>
    <definedName name="QRE_METHOD_LIST" localSheetId="38">[1]TEHSHEET!$AZ$8:$AZ$10</definedName>
    <definedName name="QRE_METHOD_LIST" localSheetId="39">[2]TEHSHEET!$AZ$8:$AZ$10</definedName>
    <definedName name="QRE_METHOD_LIST" localSheetId="40">[2]TEHSHEET!$AZ$8:$AZ$10</definedName>
    <definedName name="QRE_METHOD_LIST" localSheetId="1">[3]TEHSHEET!$AZ$8:$AZ$10</definedName>
    <definedName name="QRE_METHOD_LIST" localSheetId="36">[3]TEHSHEET!$AZ$8:$AZ$10</definedName>
    <definedName name="QRE_METHOD_LIST" localSheetId="37">[3]TEHSHEET!$AZ$8:$AZ$10</definedName>
    <definedName name="QRE_METHOD_LIST">TEHSHEET!$AZ$8:$AZ$10</definedName>
    <definedName name="QUARTER" localSheetId="38">[1]TEHSHEET!$F$2:$F$5</definedName>
    <definedName name="QUARTER" localSheetId="39">[2]TEHSHEET!$F$2:$F$5</definedName>
    <definedName name="QUARTER" localSheetId="40">[2]TEHSHEET!$F$2:$F$5</definedName>
    <definedName name="QUARTER" localSheetId="1">[3]TEHSHEET!$F$2:$F$5</definedName>
    <definedName name="QUARTER" localSheetId="36">[3]TEHSHEET!$F$2:$F$5</definedName>
    <definedName name="QUARTER" localSheetId="37">[3]TEHSHEET!$F$2:$F$5</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REESTR_IP!$A$2:$D$107</definedName>
    <definedName name="REESTR_LINK_RANGE">REESTR_LINK!$A$2:$C$3</definedName>
    <definedName name="REESTR_VT_RANGE">REESTR_VT!$A$2:$B$11</definedName>
    <definedName name="REGION">TEHSHEET!$A$2:$A$91</definedName>
    <definedName name="region_name" localSheetId="39">[2]Титульный!$F$7</definedName>
    <definedName name="region_name" localSheetId="40">[2]Титульный!$F$7</definedName>
    <definedName name="region_name" localSheetId="1">[3]Титульный!$F$7</definedName>
    <definedName name="region_name" localSheetId="36">[3]Титульный!$F$7</definedName>
    <definedName name="region_name" localSheetId="37">[3]Титульный!$F$7</definedName>
    <definedName name="region_name">#REF!</definedName>
    <definedName name="RegulatoryPeriod">#REF!</definedName>
    <definedName name="ReportPeriod">#REF!</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 localSheetId="38">[1]TEHSHEET!$AZ$97:$AZ$99</definedName>
    <definedName name="ROIV_INFO_LIST" localSheetId="39">[2]TEHSHEET!$AZ$97:$AZ$99</definedName>
    <definedName name="ROIV_INFO_LIST" localSheetId="40">[2]TEHSHEET!$AZ$97:$AZ$99</definedName>
    <definedName name="ROIV_INFO_LIST" localSheetId="1">[3]TEHSHEET!$AZ$97:$AZ$99</definedName>
    <definedName name="ROIV_INFO_LIST" localSheetId="36">[3]TEHSHEET!$AZ$97:$AZ$99</definedName>
    <definedName name="ROIV_INFO_LIST" localSheetId="37">[3]TEHSHEET!$AZ$97:$AZ$99</definedName>
    <definedName name="ROIV_INFO_LIST">TEHSHEET!$AZ$97:$AZ$99</definedName>
    <definedName name="ROIV_INFO_NAME" localSheetId="38">'[1]Орган регулирования'!$F$12</definedName>
    <definedName name="ROIV_INFO_NAME" localSheetId="39">'[2]Орган регулирования'!$F$12</definedName>
    <definedName name="ROIV_INFO_NAME" localSheetId="40">'[2]Орган регулирования'!$F$12</definedName>
    <definedName name="ROIV_INFO_NAME" localSheetId="1">'[3]Орган регулирования'!$F$12</definedName>
    <definedName name="ROIV_INFO_NAME" localSheetId="36">'[3]Орган регулирования'!$F$12</definedName>
    <definedName name="ROIV_INFO_NAME" localSheetId="37">'[3]Орган регулирования'!$F$12</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 localSheetId="38">[1]TEHSHEET!$G$46:$G$53</definedName>
    <definedName name="StartDateList" localSheetId="39">[2]TEHSHEET!$G$46:$G$53</definedName>
    <definedName name="StartDateList" localSheetId="40">[2]TEHSHEET!$G$46:$G$53</definedName>
    <definedName name="StartDateList" localSheetId="1">[3]TEHSHEET!$G$46:$G$53</definedName>
    <definedName name="StartDateList" localSheetId="36">[3]TEHSHEET!$G$46:$G$53</definedName>
    <definedName name="StartDateList" localSheetId="37">[3]TEHSHEET!$G$46:$G$53</definedName>
    <definedName name="StartDateList">TEHSHEET!$G$46:$G$53</definedName>
    <definedName name="TECH_ORG_ID">#REF!</definedName>
    <definedName name="TEMPLATE_DATA_POINT">DATA_NPA!$T$11:$X$16</definedName>
    <definedName name="TEMPLATE_DATA_POINT_FHD" localSheetId="38">[1]DATA_NPA!$T$18:$W$146</definedName>
    <definedName name="TEMPLATE_DATA_POINT_FHD" localSheetId="39">[2]DATA_NPA!$T$18:$W$146</definedName>
    <definedName name="TEMPLATE_DATA_POINT_FHD" localSheetId="40">[2]DATA_NPA!$T$18:$W$146</definedName>
    <definedName name="TEMPLATE_DATA_POINT_FHD" localSheetId="1">[3]DATA_NPA!$T$18:$W$146</definedName>
    <definedName name="TEMPLATE_DATA_POINT_FHD" localSheetId="36">[3]DATA_NPA!$T$18:$W$146</definedName>
    <definedName name="TEMPLATE_DATA_POINT_FHD" localSheetId="37">[3]DATA_NPA!$T$18:$W$146</definedName>
    <definedName name="TEMPLATE_DATA_POINT_FHD">DATA_NPA!$T$18:$W$146</definedName>
    <definedName name="TEMPLATE_GROUP" localSheetId="38">[1]TEHSHEET!$E$45</definedName>
    <definedName name="TEMPLATE_GROUP" localSheetId="39">[2]TEHSHEET!$E$45</definedName>
    <definedName name="TEMPLATE_GROUP" localSheetId="40">[2]TEHSHEET!$E$45</definedName>
    <definedName name="TEMPLATE_GROUP" localSheetId="1">[3]TEHSHEET!$E$45</definedName>
    <definedName name="TEMPLATE_GROUP" localSheetId="36">[3]TEHSHEET!$E$45</definedName>
    <definedName name="TEMPLATE_GROUP" localSheetId="37">[3]TEHSHEET!$E$45</definedName>
    <definedName name="TEMPLATE_GROUP">TEHSHEET!$E$45</definedName>
    <definedName name="TEMPLATE_NAME_FORM_LIST" localSheetId="38">[1]DATA_FORMS!$D$3:$H$35</definedName>
    <definedName name="TEMPLATE_NAME_FORM_LIST" localSheetId="39">[2]DATA_FORMS!$D$3:$H$35</definedName>
    <definedName name="TEMPLATE_NAME_FORM_LIST" localSheetId="40">[2]DATA_FORMS!$D$3:$H$35</definedName>
    <definedName name="TEMPLATE_NAME_FORM_LIST" localSheetId="1">[3]DATA_FORMS!$D$3:$H$35</definedName>
    <definedName name="TEMPLATE_NAME_FORM_LIST" localSheetId="36">[3]DATA_FORMS!$D$3:$H$35</definedName>
    <definedName name="TEMPLATE_NAME_FORM_LIST" localSheetId="37">[3]DATA_FORMS!$D$3:$H$35</definedName>
    <definedName name="TEMPLATE_NAME_FORM_LIST">DATA_FORMS!$D$3:$H$35</definedName>
    <definedName name="TEMPLATE_NOTE_POINT">DATA_NPA!$Z$11:$AD$15</definedName>
    <definedName name="TEMPLATE_NOTE_POINT_FHD" localSheetId="38">[1]DATA_NPA!$Z$18:$AD$146</definedName>
    <definedName name="TEMPLATE_NOTE_POINT_FHD" localSheetId="39">[2]DATA_NPA!$Z$18:$AD$146</definedName>
    <definedName name="TEMPLATE_NOTE_POINT_FHD" localSheetId="40">[2]DATA_NPA!$Z$18:$AD$146</definedName>
    <definedName name="TEMPLATE_NOTE_POINT_FHD" localSheetId="1">[3]DATA_NPA!$Z$18:$AD$146</definedName>
    <definedName name="TEMPLATE_NOTE_POINT_FHD" localSheetId="36">[3]DATA_NPA!$Z$18:$AD$146</definedName>
    <definedName name="TEMPLATE_NOTE_POINT_FHD" localSheetId="37">[3]DATA_NPA!$Z$18:$AD$146</definedName>
    <definedName name="TEMPLATE_NOTE_POINT_FHD">DATA_NPA!$Z$18:$AD$146</definedName>
    <definedName name="TEMPLATE_NUMBER_FORM_LIST" localSheetId="38">[1]DATA_FORMS!$D$2:$H$2</definedName>
    <definedName name="TEMPLATE_NUMBER_FORM_LIST" localSheetId="39">[2]DATA_FORMS!$D$2:$H$2</definedName>
    <definedName name="TEMPLATE_NUMBER_FORM_LIST" localSheetId="40">[2]DATA_FORMS!$D$2:$H$2</definedName>
    <definedName name="TEMPLATE_NUMBER_FORM_LIST" localSheetId="1">[3]DATA_FORMS!$D$2:$H$2</definedName>
    <definedName name="TEMPLATE_NUMBER_FORM_LIST" localSheetId="36">[3]DATA_FORMS!$D$2:$H$2</definedName>
    <definedName name="TEMPLATE_NUMBER_FORM_LIST" localSheetId="37">[3]DATA_FORMS!$D$2:$H$2</definedName>
    <definedName name="TEMPLATE_NUMBER_FORM_LIST">DATA_FORMS!$D$2:$H$2</definedName>
    <definedName name="TEMPLATE_NUMBER_POINT_FHD" localSheetId="38">[1]DATA_NPA!$O$18:$S$146</definedName>
    <definedName name="TEMPLATE_NUMBER_POINT_FHD" localSheetId="39">[2]DATA_NPA!$O$18:$S$146</definedName>
    <definedName name="TEMPLATE_NUMBER_POINT_FHD" localSheetId="40">[2]DATA_NPA!$O$18:$S$146</definedName>
    <definedName name="TEMPLATE_NUMBER_POINT_FHD" localSheetId="1">[3]DATA_NPA!$O$18:$S$146</definedName>
    <definedName name="TEMPLATE_NUMBER_POINT_FHD" localSheetId="36">[3]DATA_NPA!$O$18:$S$146</definedName>
    <definedName name="TEMPLATE_NUMBER_POINT_FHD" localSheetId="37">[3]DATA_NPA!$O$18:$S$146</definedName>
    <definedName name="TEMPLATE_NUMBER_POINT_FHD">DATA_NPA!$O$18:$S$146</definedName>
    <definedName name="TEMPLATE_ORG_DATA_POINT" localSheetId="38">[1]DATA_NPA!$Z$3:$AD$9</definedName>
    <definedName name="TEMPLATE_ORG_DATA_POINT" localSheetId="39">[2]DATA_NPA!$Z$3:$AD$9</definedName>
    <definedName name="TEMPLATE_ORG_DATA_POINT" localSheetId="40">[2]DATA_NPA!$Z$3:$AD$9</definedName>
    <definedName name="TEMPLATE_ORG_DATA_POINT" localSheetId="1">[3]DATA_NPA!$Z$3:$AD$9</definedName>
    <definedName name="TEMPLATE_ORG_DATA_POINT" localSheetId="36">[3]DATA_NPA!$Z$3:$AD$9</definedName>
    <definedName name="TEMPLATE_ORG_DATA_POINT" localSheetId="37">[3]DATA_NPA!$Z$3:$AD$9</definedName>
    <definedName name="TEMPLATE_ORG_DATA_POINT">DATA_NPA!$Z$3:$AD$9</definedName>
    <definedName name="TEMPLATE_SPHERE" localSheetId="38">[1]TEHSHEET!$E$36</definedName>
    <definedName name="TEMPLATE_SPHERE" localSheetId="39">[2]TEHSHEET!$E$36</definedName>
    <definedName name="TEMPLATE_SPHERE" localSheetId="40">[2]TEHSHEET!$E$36</definedName>
    <definedName name="TEMPLATE_SPHERE" localSheetId="1">[3]TEHSHEET!$E$36</definedName>
    <definedName name="TEMPLATE_SPHERE" localSheetId="36">[3]TEHSHEET!$E$36</definedName>
    <definedName name="TEMPLATE_SPHERE" localSheetId="37">[3]TEHSHEET!$E$36</definedName>
    <definedName name="TEMPLATE_SPHERE">TEHSHEET!$E$36</definedName>
    <definedName name="TEMPLATE_SPHERE_LIST" localSheetId="38">[1]DATA_FORMS!$D$1:$H$1</definedName>
    <definedName name="TEMPLATE_SPHERE_LIST" localSheetId="39">[2]DATA_FORMS!$D$1:$H$1</definedName>
    <definedName name="TEMPLATE_SPHERE_LIST" localSheetId="40">[2]DATA_FORMS!$D$1:$H$1</definedName>
    <definedName name="TEMPLATE_SPHERE_LIST" localSheetId="1">[3]DATA_FORMS!$D$1:$H$1</definedName>
    <definedName name="TEMPLATE_SPHERE_LIST" localSheetId="36">[3]DATA_FORMS!$D$1:$H$1</definedName>
    <definedName name="TEMPLATE_SPHERE_LIST" localSheetId="37">[3]DATA_FORMS!$D$1:$H$1</definedName>
    <definedName name="TEMPLATE_SPHERE_LIST">DATA_FORMS!$D$1:$H$1</definedName>
    <definedName name="TEMPLATE_SPHERE_LIST_FOR_NOTE" localSheetId="38">[1]DATA_NPA!$Z$2:$AD$2</definedName>
    <definedName name="TEMPLATE_SPHERE_LIST_FOR_NOTE" localSheetId="39">[2]DATA_NPA!$Z$2:$AD$2</definedName>
    <definedName name="TEMPLATE_SPHERE_LIST_FOR_NOTE" localSheetId="40">[2]DATA_NPA!$Z$2:$AD$2</definedName>
    <definedName name="TEMPLATE_SPHERE_LIST_FOR_NOTE" localSheetId="1">[3]DATA_NPA!$Z$2:$AD$2</definedName>
    <definedName name="TEMPLATE_SPHERE_LIST_FOR_NOTE" localSheetId="36">[3]DATA_NPA!$Z$2:$AD$2</definedName>
    <definedName name="TEMPLATE_SPHERE_LIST_FOR_NOTE" localSheetId="37">[3]DATA_NPA!$Z$2:$AD$2</definedName>
    <definedName name="TEMPLATE_SPHERE_LIST_FOR_NOTE">DATA_NPA!$Z$2:$AD$2</definedName>
    <definedName name="TEMPLATE_SPHERE_LIST_FOR_NPA">DATA_NPA!$T$2:$X$2</definedName>
    <definedName name="TEMPLATE_SPHERE_RUS" localSheetId="38">[1]TEHSHEET!$F$36</definedName>
    <definedName name="TEMPLATE_SPHERE_RUS" localSheetId="39">[2]TEHSHEET!$F$36</definedName>
    <definedName name="TEMPLATE_SPHERE_RUS" localSheetId="40">[2]TEHSHEET!$F$36</definedName>
    <definedName name="TEMPLATE_SPHERE_RUS" localSheetId="1">[3]TEHSHEET!$F$36</definedName>
    <definedName name="TEMPLATE_SPHERE_RUS" localSheetId="36">[3]TEHSHEET!$F$36</definedName>
    <definedName name="TEMPLATE_SPHERE_RUS" localSheetId="37">[3]TEHSHEET!$F$36</definedName>
    <definedName name="TEMPLATE_SPHERE_RUS">TEHSHEET!$F$36</definedName>
    <definedName name="TEMPLATE_SPHERE_RUS_2" localSheetId="38">[1]TEHSHEET!$G$36</definedName>
    <definedName name="TEMPLATE_SPHERE_RUS_2" localSheetId="39">[2]TEHSHEET!$G$36</definedName>
    <definedName name="TEMPLATE_SPHERE_RUS_2" localSheetId="40">[2]TEHSHEET!$G$36</definedName>
    <definedName name="TEMPLATE_SPHERE_RUS_2" localSheetId="1">[3]TEHSHEET!$G$36</definedName>
    <definedName name="TEMPLATE_SPHERE_RUS_2" localSheetId="36">[3]TEHSHEET!$G$36</definedName>
    <definedName name="TEMPLATE_SPHERE_RUS_2" localSheetId="37">[3]TEHSHEET!$G$36</definedName>
    <definedName name="TEMPLATE_SPHERE_RUS_2">TEHSHEET!$G$36</definedName>
    <definedName name="TemplateState">TEHSHEET!$E$16</definedName>
    <definedName name="ter_1" localSheetId="38">'ГВС 1'!$G$13:$I$13</definedName>
    <definedName name="ter_1">'ТЭ+Теплоноситель 1'!$G$13:$I$13</definedName>
    <definedName name="TER_ID">TEHSHEET!$E$62</definedName>
    <definedName name="TERMS_LINK">Договоры!$F$12:$F$22</definedName>
    <definedName name="TERMS_NAME_FORM" localSheetId="38">[1]DATA_FORMS!$C$5</definedName>
    <definedName name="TERMS_NAME_FORM" localSheetId="39">[2]DATA_FORMS!$C$5</definedName>
    <definedName name="TERMS_NAME_FORM" localSheetId="40">[2]DATA_FORMS!$C$5</definedName>
    <definedName name="TERMS_NAME_FORM" localSheetId="1">[3]DATA_FORMS!$C$5</definedName>
    <definedName name="TERMS_NAME_FORM" localSheetId="36">[3]DATA_FORMS!$C$5</definedName>
    <definedName name="TERMS_NAME_FORM" localSheetId="37">[3]DATA_FORMS!$C$5</definedName>
    <definedName name="TERMS_NAME_FORM">DATA_FORMS!$C$5</definedName>
    <definedName name="TERMS_NUM_CONTRACT_COLUMN_MARKER">Договоры!$D$8</definedName>
    <definedName name="TERMS_P_1" localSheetId="38">[1]DATA_NPA!$M$148</definedName>
    <definedName name="TERMS_P_1" localSheetId="39">[2]DATA_NPA!$M$148</definedName>
    <definedName name="TERMS_P_1" localSheetId="40">[2]DATA_NPA!$M$148</definedName>
    <definedName name="TERMS_P_1" localSheetId="1">[3]DATA_NPA!$M$148</definedName>
    <definedName name="TERMS_P_1" localSheetId="36">[3]DATA_NPA!$M$148</definedName>
    <definedName name="TERMS_P_1" localSheetId="37">[3]DATA_NPA!$M$148</definedName>
    <definedName name="TERMS_P_1">DATA_NPA!$M$148</definedName>
    <definedName name="TERMS_TKO_TRANS_DATA">Договоры!$E$25:$F$26</definedName>
    <definedName name="TERRITORY_CheckC" localSheetId="38">'ГВС 1'!$E$11:$I$15</definedName>
    <definedName name="TERRITORY_CheckC">'ТЭ+Теплоноситель 1'!$E$11:$I$15</definedName>
    <definedName name="TERRITORY_ID">TEHSHEET!$E$56</definedName>
    <definedName name="TERRITORY_LIST_ID" localSheetId="38">'ГВС 1'!$F$11:$F$15</definedName>
    <definedName name="TERRITORY_LIST_ID" localSheetId="39">'[2]Список территорий'!$F$11:$F$15</definedName>
    <definedName name="TERRITORY_LIST_ID" localSheetId="40">'[2]Список территорий'!$F$11:$F$15</definedName>
    <definedName name="TERRITORY_LIST_ID" localSheetId="1">'[3]Список территорий'!$F$11:$F$15</definedName>
    <definedName name="TERRITORY_LIST_ID" localSheetId="36">'[3]Список территорий'!$F$11:$F$15</definedName>
    <definedName name="TERRITORY_LIST_ID" localSheetId="37">'[3]Список территорий'!$F$11:$F$15</definedName>
    <definedName name="TERRITORY_LIST_ID">'ТЭ+Теплоноситель 1'!$F$11:$F$15</definedName>
    <definedName name="TERRITORY_MO_LIST" localSheetId="38">'ГВС 1'!$H$11:$H$15</definedName>
    <definedName name="TERRITORY_MO_LIST">'ТЭ+Теплоноситель 1'!$H$11:$H$15</definedName>
    <definedName name="TERRITORY_MR_LIST" localSheetId="38">'ГВС 1'!$G$11:$G$15</definedName>
    <definedName name="TERRITORY_MR_LIST" localSheetId="39">'[2]Список территорий'!$G$11:$G$15</definedName>
    <definedName name="TERRITORY_MR_LIST" localSheetId="40">'[2]Список территорий'!$G$11:$G$15</definedName>
    <definedName name="TERRITORY_MR_LIST" localSheetId="1">'[3]Список территорий'!$G$11:$G$15</definedName>
    <definedName name="TERRITORY_MR_LIST" localSheetId="36">'[3]Список территорий'!$G$11:$G$15</definedName>
    <definedName name="TERRITORY_MR_LIST" localSheetId="37">'[3]Список территорий'!$G$11:$G$15</definedName>
    <definedName name="TERRITORY_MR_LIST">'ТЭ+Теплоноситель 1'!$G$11:$G$15</definedName>
    <definedName name="TERRITORY_NAME_COL" localSheetId="38">'ГВС 1'!$G$1:$I$1</definedName>
    <definedName name="TERRITORY_NAME_COL">'ТЭ+Теплоноситель 1'!$G$1:$I$1</definedName>
    <definedName name="TERRITORY_POINT_NUMBER_1" localSheetId="38">'ГВС 1'!$A:$A</definedName>
    <definedName name="TERRITORY_POINT_NUMBER_1">'ТЭ+Теплоноситель 1'!$A:$A</definedName>
    <definedName name="TITLE_BUHG_FLAG">#REF!</definedName>
    <definedName name="TITLE_CONNECTION_FLAG">#REF!</definedName>
    <definedName name="TITLE_DATA_TYPE">#REF!</definedName>
    <definedName name="TITLE_DATE_BUHG">#REF!</definedName>
    <definedName name="TITLE_DATE_CHANGE">#REF!</definedName>
    <definedName name="TITLE_DATE_CHANGE_PERIOD" localSheetId="39">[2]Титульный!$F$19</definedName>
    <definedName name="TITLE_DATE_CHANGE_PERIOD" localSheetId="40">[2]Титульный!$F$19</definedName>
    <definedName name="TITLE_DATE_CHANGE_PERIOD" localSheetId="1">[3]Титульный!$F$19</definedName>
    <definedName name="TITLE_DATE_CHANGE_PERIOD" localSheetId="36">[3]Титульный!$F$19</definedName>
    <definedName name="TITLE_DATE_CHANGE_PERIOD" localSheetId="37">[3]Титульный!$F$19</definedName>
    <definedName name="TITLE_DATE_CHANGE_PERIOD">#REF!</definedName>
    <definedName name="TITLE_DATE_FIL" localSheetId="39">[2]Титульный!$F$13</definedName>
    <definedName name="TITLE_DATE_FIL" localSheetId="40">[2]Титульный!$F$13</definedName>
    <definedName name="TITLE_DATE_FIL" localSheetId="1">[3]Титульный!$F$13</definedName>
    <definedName name="TITLE_DATE_FIL" localSheetId="36">[3]Титульный!$F$13</definedName>
    <definedName name="TITLE_DATE_FIL" localSheetId="37">[3]Титульный!$F$13</definedName>
    <definedName name="TITLE_DATE_FIL">#REF!</definedName>
    <definedName name="TITLE_DATE_PARKING">#REF!</definedName>
    <definedName name="TITLE_DATE_PR" localSheetId="39">[2]Титульный!$F$21</definedName>
    <definedName name="TITLE_DATE_PR" localSheetId="40">[2]Титульный!$F$21</definedName>
    <definedName name="TITLE_DATE_PR" localSheetId="1">[3]Титульный!$F$21</definedName>
    <definedName name="TITLE_DATE_PR" localSheetId="36">[3]Титульный!$F$21</definedName>
    <definedName name="TITLE_DATE_PR" localSheetId="37">[3]Титульный!$F$21</definedName>
    <definedName name="TITLE_DATE_PR">#REF!</definedName>
    <definedName name="TITLE_DATE_PR_CHANGE" localSheetId="39">[2]Титульный!$F$26</definedName>
    <definedName name="TITLE_DATE_PR_CHANGE" localSheetId="40">[2]Титульный!$F$26</definedName>
    <definedName name="TITLE_DATE_PR_CHANGE" localSheetId="1">[3]Титульный!$F$26</definedName>
    <definedName name="TITLE_DATE_PR_CHANGE" localSheetId="36">[3]Титульный!$F$26</definedName>
    <definedName name="TITLE_DATE_PR_CHANGE" localSheetId="37">[3]Титульный!$F$26</definedName>
    <definedName name="TITLE_DATE_PR_CHANGE">#REF!</definedName>
    <definedName name="TITLE_DIFFERENTIATION_TYPE" localSheetId="39">[2]Титульный!$F$41</definedName>
    <definedName name="TITLE_DIFFERENTIATION_TYPE" localSheetId="40">[2]Титульный!$F$41</definedName>
    <definedName name="TITLE_DIFFERENTIATION_TYPE" localSheetId="1">[3]Титульный!$F$41</definedName>
    <definedName name="TITLE_DIFFERENTIATION_TYPE" localSheetId="36">[3]Титульный!$F$41</definedName>
    <definedName name="TITLE_DIFFERENTIATION_TYPE" localSheetId="37">[3]Титульный!$F$41</definedName>
    <definedName name="TITLE_DIFFERENTIATION_TYPE">#REF!</definedName>
    <definedName name="TITLE_FIL_YEAR" localSheetId="39">[2]Титульный!$F$14</definedName>
    <definedName name="TITLE_FIL_YEAR" localSheetId="40">[2]Титульный!$F$14</definedName>
    <definedName name="TITLE_FIL_YEAR" localSheetId="1">[3]Титульный!$F$14</definedName>
    <definedName name="TITLE_FIL_YEAR" localSheetId="36">[3]Титульный!$F$14</definedName>
    <definedName name="TITLE_FIL_YEAR" localSheetId="37">[3]Титульный!$F$14</definedName>
    <definedName name="TITLE_FIL_YEAR">#REF!</definedName>
    <definedName name="TITLE_FLAG_DIFF_SELLER">#REF!</definedName>
    <definedName name="TITLE_FLAG_INTERNET">#REF!</definedName>
    <definedName name="TITLE_FLAG_IP">#REF!</definedName>
    <definedName name="TITLE_FLAG_IP_DETAILED">#REF!</definedName>
    <definedName name="TITLE_FLAG_NO_DIFF_COMPONENT">#REF!</definedName>
    <definedName name="TITLE_FLAG_NOT_REG_PRICE">#REF!</definedName>
    <definedName name="TITLE_FLAG_REG_PRICE_IP">#REF!</definedName>
    <definedName name="TITLE_FLAG_TKO_TRANS">#REF!</definedName>
    <definedName name="TITLE_FLAG_TOP80_ACTIVITY">#REF!</definedName>
    <definedName name="TITLE_HEADER_PR_CHANGE">#REF!</definedName>
    <definedName name="TITLE_IP_DETAILED_METHOD_LIST" localSheetId="38">[1]TEHSHEET!$AZ$15:$AZ$17</definedName>
    <definedName name="TITLE_IP_DETAILED_METHOD_LIST" localSheetId="39">[2]TEHSHEET!$AZ$15:$AZ$17</definedName>
    <definedName name="TITLE_IP_DETAILED_METHOD_LIST" localSheetId="40">[2]TEHSHEET!$AZ$15:$AZ$17</definedName>
    <definedName name="TITLE_IP_DETAILED_METHOD_LIST" localSheetId="1">[3]TEHSHEET!$AZ$15:$AZ$17</definedName>
    <definedName name="TITLE_IP_DETAILED_METHOD_LIST" localSheetId="36">[3]TEHSHEET!$AZ$15:$AZ$17</definedName>
    <definedName name="TITLE_IP_DETAILED_METHOD_LIST" localSheetId="37">[3]TEHSHEET!$AZ$15:$AZ$17</definedName>
    <definedName name="TITLE_IP_DETAILED_METHOD_LIST">TEHSHEET!$AZ$15:$AZ$17</definedName>
    <definedName name="TITLE_IST_PUB" localSheetId="39">[2]Титульный!$F$24</definedName>
    <definedName name="TITLE_IST_PUB" localSheetId="40">[2]Титульный!$F$24</definedName>
    <definedName name="TITLE_IST_PUB" localSheetId="1">[3]Титульный!$F$24</definedName>
    <definedName name="TITLE_IST_PUB" localSheetId="36">[3]Титульный!$F$24</definedName>
    <definedName name="TITLE_IST_PUB" localSheetId="37">[3]Титульный!$F$24</definedName>
    <definedName name="TITLE_IST_PUB">#REF!</definedName>
    <definedName name="TITLE_IST_PUB_CHANGE" localSheetId="39">[2]Титульный!$F$29</definedName>
    <definedName name="TITLE_IST_PUB_CHANGE" localSheetId="40">[2]Титульный!$F$29</definedName>
    <definedName name="TITLE_IST_PUB_CHANGE" localSheetId="1">[3]Титульный!$F$29</definedName>
    <definedName name="TITLE_IST_PUB_CHANGE" localSheetId="36">[3]Титульный!$F$29</definedName>
    <definedName name="TITLE_IST_PUB_CHANGE" localSheetId="37">[3]Титульный!$F$29</definedName>
    <definedName name="TITLE_IST_PUB_CHANGE">#REF!</definedName>
    <definedName name="TITLE_NAME_OR_PR" localSheetId="39">[2]Титульный!$F$23</definedName>
    <definedName name="TITLE_NAME_OR_PR" localSheetId="40">[2]Титульный!$F$23</definedName>
    <definedName name="TITLE_NAME_OR_PR" localSheetId="1">[3]Титульный!$F$23</definedName>
    <definedName name="TITLE_NAME_OR_PR" localSheetId="36">[3]Титульный!$F$23</definedName>
    <definedName name="TITLE_NAME_OR_PR" localSheetId="37">[3]Титульный!$F$23</definedName>
    <definedName name="TITLE_NAME_OR_PR">#REF!</definedName>
    <definedName name="TITLE_NAME_OR_PR_CHANGE" localSheetId="39">[2]Титульный!$F$28</definedName>
    <definedName name="TITLE_NAME_OR_PR_CHANGE" localSheetId="40">[2]Титульный!$F$28</definedName>
    <definedName name="TITLE_NAME_OR_PR_CHANGE" localSheetId="1">[3]Титульный!$F$28</definedName>
    <definedName name="TITLE_NAME_OR_PR_CHANGE" localSheetId="36">[3]Титульный!$F$28</definedName>
    <definedName name="TITLE_NAME_OR_PR_CHANGE" localSheetId="37">[3]Титульный!$F$28</definedName>
    <definedName name="TITLE_NAME_OR_PR_CHANGE">#REF!</definedName>
    <definedName name="TITLE_NAME_ROIV" localSheetId="39">[2]Титульный!#REF!</definedName>
    <definedName name="TITLE_NAME_ROIV" localSheetId="40">[2]Титульный!#REF!</definedName>
    <definedName name="TITLE_NAME_ROIV" localSheetId="1">[3]Титульный!#REF!</definedName>
    <definedName name="TITLE_NAME_ROIV" localSheetId="36">[3]Титульный!#REF!</definedName>
    <definedName name="TITLE_NAME_ROIV" localSheetId="37">[3]Титульный!#REF!</definedName>
    <definedName name="TITLE_NAME_ROIV">#REF!</definedName>
    <definedName name="TITLE_NUMBER_PR" localSheetId="39">[2]Титульный!$F$22</definedName>
    <definedName name="TITLE_NUMBER_PR" localSheetId="40">[2]Титульный!$F$22</definedName>
    <definedName name="TITLE_NUMBER_PR" localSheetId="1">[3]Титульный!$F$22</definedName>
    <definedName name="TITLE_NUMBER_PR" localSheetId="36">[3]Титульный!$F$22</definedName>
    <definedName name="TITLE_NUMBER_PR" localSheetId="37">[3]Титульный!$F$22</definedName>
    <definedName name="TITLE_NUMBER_PR">#REF!</definedName>
    <definedName name="TITLE_NUMBER_PR_CHANGE" localSheetId="39">[2]Титульный!$F$27</definedName>
    <definedName name="TITLE_NUMBER_PR_CHANGE" localSheetId="40">[2]Титульный!$F$27</definedName>
    <definedName name="TITLE_NUMBER_PR_CHANGE" localSheetId="1">[3]Титульный!$F$27</definedName>
    <definedName name="TITLE_NUMBER_PR_CHANGE" localSheetId="36">[3]Титульный!$F$27</definedName>
    <definedName name="TITLE_NUMBER_PR_CHANGE" localSheetId="37">[3]Титульный!$F$27</definedName>
    <definedName name="TITLE_NUMBER_PR_CHANGE">#REF!</definedName>
    <definedName name="TITLE_PERIOD_END" localSheetId="39">[2]Титульный!$F$12</definedName>
    <definedName name="TITLE_PERIOD_END" localSheetId="40">[2]Титульный!$F$12</definedName>
    <definedName name="TITLE_PERIOD_END" localSheetId="1">[3]Титульный!$F$12</definedName>
    <definedName name="TITLE_PERIOD_END" localSheetId="36">[3]Титульный!$F$12</definedName>
    <definedName name="TITLE_PERIOD_END" localSheetId="37">[3]Титульный!$F$12</definedName>
    <definedName name="TITLE_PERIOD_END">#REF!</definedName>
    <definedName name="TITLE_PERIOD_START" localSheetId="39">[2]Титульный!$F$11</definedName>
    <definedName name="TITLE_PERIOD_START" localSheetId="40">[2]Титульный!$F$11</definedName>
    <definedName name="TITLE_PERIOD_START" localSheetId="1">[3]Титульный!$F$11</definedName>
    <definedName name="TITLE_PERIOD_START" localSheetId="36">[3]Титульный!$F$11</definedName>
    <definedName name="TITLE_PERIOD_START" localSheetId="37">[3]Титульный!$F$11</definedName>
    <definedName name="TITLE_PERIOD_START">#REF!</definedName>
    <definedName name="TITLE_PRICE_INDICATORS_GRAPH">#REF!</definedName>
    <definedName name="TITLE_PRICE_INDICATORS_LEVEL">#REF!</definedName>
    <definedName name="TITLE_STRUCTURE_INFO_ROIV">#REF!</definedName>
    <definedName name="TITLE_TYPE_ORG">#REF!</definedName>
    <definedName name="TKO_PT_VED_ID">TEHSHEET!$CC$19:$CC$24</definedName>
    <definedName name="TKO_PT_VED_NAME">TEHSHEET!$CD$19:$CD$24</definedName>
    <definedName name="TKO_PT_VED_NAME_LIST">TEHSHEET!$CC$19:$CD$24</definedName>
    <definedName name="TP_NAME_FORM" localSheetId="38">[1]DATA_FORMS!$C$3</definedName>
    <definedName name="TP_NAME_FORM" localSheetId="39">[2]DATA_FORMS!$C$3</definedName>
    <definedName name="TP_NAME_FORM" localSheetId="40">[2]DATA_FORMS!$C$3</definedName>
    <definedName name="TP_NAME_FORM" localSheetId="1">[3]DATA_FORMS!$C$3</definedName>
    <definedName name="TP_NAME_FORM" localSheetId="36">[3]DATA_FORMS!$C$3</definedName>
    <definedName name="TP_NAME_FORM" localSheetId="37">[3]DATA_FORMS!$C$3</definedName>
    <definedName name="TP_NAME_FORM">DATA_FORMS!$C$3</definedName>
    <definedName name="TP_NUMBER_FORM">DATA_FORMS!$C$2</definedName>
    <definedName name="TP_P_A" localSheetId="38">[1]DATA_NPA!$M$11</definedName>
    <definedName name="TP_P_A" localSheetId="39">[2]DATA_NPA!$M$11</definedName>
    <definedName name="TP_P_A" localSheetId="40">[2]DATA_NPA!$M$11</definedName>
    <definedName name="TP_P_A" localSheetId="1">[3]DATA_NPA!$M$11</definedName>
    <definedName name="TP_P_A" localSheetId="36">[3]DATA_NPA!$M$11</definedName>
    <definedName name="TP_P_A" localSheetId="37">[3]DATA_NPA!$M$11</definedName>
    <definedName name="TP_P_A">DATA_NPA!$M$11</definedName>
    <definedName name="TP_P_B" localSheetId="38">[1]DATA_NPA!$M$12</definedName>
    <definedName name="TP_P_B" localSheetId="39">[2]DATA_NPA!$M$12</definedName>
    <definedName name="TP_P_B" localSheetId="40">[2]DATA_NPA!$M$12</definedName>
    <definedName name="TP_P_B" localSheetId="1">[3]DATA_NPA!$M$12</definedName>
    <definedName name="TP_P_B" localSheetId="36">[3]DATA_NPA!$M$12</definedName>
    <definedName name="TP_P_B" localSheetId="37">[3]DATA_NPA!$M$12</definedName>
    <definedName name="TP_P_B">DATA_NPA!$M$12</definedName>
    <definedName name="TP_P_G" localSheetId="38">[1]DATA_NPA!$M$15</definedName>
    <definedName name="TP_P_G" localSheetId="39">[2]DATA_NPA!$M$15</definedName>
    <definedName name="TP_P_G" localSheetId="40">[2]DATA_NPA!$M$15</definedName>
    <definedName name="TP_P_G" localSheetId="1">[3]DATA_NPA!$M$15</definedName>
    <definedName name="TP_P_G" localSheetId="36">[3]DATA_NPA!$M$15</definedName>
    <definedName name="TP_P_G" localSheetId="37">[3]DATA_NPA!$M$15</definedName>
    <definedName name="TP_P_G">DATA_NPA!$M$15</definedName>
    <definedName name="TP_P_NOTE_A" localSheetId="38">[1]DATA_NPA!$N$11</definedName>
    <definedName name="TP_P_NOTE_A" localSheetId="39">[2]DATA_NPA!$N$11</definedName>
    <definedName name="TP_P_NOTE_A" localSheetId="40">[2]DATA_NPA!$N$11</definedName>
    <definedName name="TP_P_NOTE_A" localSheetId="1">[3]DATA_NPA!$N$11</definedName>
    <definedName name="TP_P_NOTE_A" localSheetId="36">[3]DATA_NPA!$N$11</definedName>
    <definedName name="TP_P_NOTE_A" localSheetId="37">[3]DATA_NPA!$N$11</definedName>
    <definedName name="TP_P_NOTE_A">DATA_NPA!$N$11</definedName>
    <definedName name="TP_P_NOTE_B" localSheetId="38">[1]DATA_NPA!$N$12</definedName>
    <definedName name="TP_P_NOTE_B" localSheetId="39">[2]DATA_NPA!$N$12</definedName>
    <definedName name="TP_P_NOTE_B" localSheetId="40">[2]DATA_NPA!$N$12</definedName>
    <definedName name="TP_P_NOTE_B" localSheetId="1">[3]DATA_NPA!$N$12</definedName>
    <definedName name="TP_P_NOTE_B" localSheetId="36">[3]DATA_NPA!$N$12</definedName>
    <definedName name="TP_P_NOTE_B" localSheetId="37">[3]DATA_NPA!$N$12</definedName>
    <definedName name="TP_P_NOTE_B">DATA_NPA!$N$12</definedName>
    <definedName name="TP_P_NOTE_G" localSheetId="38">[1]DATA_NPA!$N$15</definedName>
    <definedName name="TP_P_NOTE_G" localSheetId="39">[2]DATA_NPA!$N$15</definedName>
    <definedName name="TP_P_NOTE_G" localSheetId="40">[2]DATA_NPA!$N$15</definedName>
    <definedName name="TP_P_NOTE_G" localSheetId="1">[3]DATA_NPA!$N$15</definedName>
    <definedName name="TP_P_NOTE_G" localSheetId="36">[3]DATA_NPA!$N$15</definedName>
    <definedName name="TP_P_NOTE_G" localSheetId="37">[3]DATA_NPA!$N$15</definedName>
    <definedName name="TP_P_NOTE_G">DATA_NPA!$N$15</definedName>
    <definedName name="TP_P_NOTE_G_1" localSheetId="38">[1]DATA_NPA!$N$16</definedName>
    <definedName name="TP_P_NOTE_G_1" localSheetId="39">[2]DATA_NPA!$N$16</definedName>
    <definedName name="TP_P_NOTE_G_1" localSheetId="40">[2]DATA_NPA!$N$16</definedName>
    <definedName name="TP_P_NOTE_G_1" localSheetId="1">[3]DATA_NPA!$N$16</definedName>
    <definedName name="TP_P_NOTE_G_1" localSheetId="36">[3]DATA_NPA!$N$16</definedName>
    <definedName name="TP_P_NOTE_G_1" localSheetId="37">[3]DATA_NPA!$N$16</definedName>
    <definedName name="TP_P_NOTE_G_1">DATA_NPA!$N$16</definedName>
    <definedName name="TP_P_NOTE_V" localSheetId="38">[1]DATA_NPA!$N$13</definedName>
    <definedName name="TP_P_NOTE_V" localSheetId="39">[2]DATA_NPA!$N$13</definedName>
    <definedName name="TP_P_NOTE_V" localSheetId="40">[2]DATA_NPA!$N$13</definedName>
    <definedName name="TP_P_NOTE_V" localSheetId="1">[3]DATA_NPA!$N$13</definedName>
    <definedName name="TP_P_NOTE_V" localSheetId="36">[3]DATA_NPA!$N$13</definedName>
    <definedName name="TP_P_NOTE_V" localSheetId="37">[3]DATA_NPA!$N$13</definedName>
    <definedName name="TP_P_NOTE_V">DATA_NPA!$N$13</definedName>
    <definedName name="TP_P_NOTE_V_1" localSheetId="38">[1]DATA_NPA!$N$14</definedName>
    <definedName name="TP_P_NOTE_V_1" localSheetId="39">[2]DATA_NPA!$N$14</definedName>
    <definedName name="TP_P_NOTE_V_1" localSheetId="40">[2]DATA_NPA!$N$14</definedName>
    <definedName name="TP_P_NOTE_V_1" localSheetId="1">[3]DATA_NPA!$N$14</definedName>
    <definedName name="TP_P_NOTE_V_1" localSheetId="36">[3]DATA_NPA!$N$14</definedName>
    <definedName name="TP_P_NOTE_V_1" localSheetId="37">[3]DATA_NPA!$N$14</definedName>
    <definedName name="TP_P_NOTE_V_1">DATA_NPA!$N$14</definedName>
    <definedName name="TP_P_V" localSheetId="38">[1]DATA_NPA!$M$13</definedName>
    <definedName name="TP_P_V" localSheetId="39">[2]DATA_NPA!$M$13</definedName>
    <definedName name="TP_P_V" localSheetId="40">[2]DATA_NPA!$M$13</definedName>
    <definedName name="TP_P_V" localSheetId="1">[3]DATA_NPA!$M$13</definedName>
    <definedName name="TP_P_V" localSheetId="36">[3]DATA_NPA!$M$13</definedName>
    <definedName name="TP_P_V" localSheetId="37">[3]DATA_NPA!$M$13</definedName>
    <definedName name="TP_P_V">DATA_NPA!$M$13</definedName>
    <definedName name="TP_P_V_1" localSheetId="38">[1]DATA_NPA!$M$14</definedName>
    <definedName name="TP_P_V_1" localSheetId="39">[2]DATA_NPA!$M$14</definedName>
    <definedName name="TP_P_V_1" localSheetId="40">[2]DATA_NPA!$M$14</definedName>
    <definedName name="TP_P_V_1" localSheetId="1">[3]DATA_NPA!$M$14</definedName>
    <definedName name="TP_P_V_1" localSheetId="36">[3]DATA_NPA!$M$14</definedName>
    <definedName name="TP_P_V_1" localSheetId="37">[3]DATA_NPA!$M$14</definedName>
    <definedName name="TP_P_V_1">DATA_NPA!$M$14</definedName>
    <definedName name="TYPE_TKO_LIST">TEHSHEET!$AZ$85:$AZ$87</definedName>
    <definedName name="UNIT_CONNECT_LIST" localSheetId="38">[1]TEHSHEET!$AZ$102:$AZ$104</definedName>
    <definedName name="UNIT_CONNECT_LIST" localSheetId="39">[2]TEHSHEET!$AZ$102:$AZ$104</definedName>
    <definedName name="UNIT_CONNECT_LIST" localSheetId="40">[2]TEHSHEET!$AZ$102:$AZ$104</definedName>
    <definedName name="UNIT_CONNECT_LIST" localSheetId="1">[3]TEHSHEET!$AZ$102:$AZ$104</definedName>
    <definedName name="UNIT_CONNECT_LIST" localSheetId="36">[3]TEHSHEET!$AZ$102:$AZ$104</definedName>
    <definedName name="UNIT_CONNECT_LIST" localSheetId="37">[3]TEHSHEET!$AZ$102:$AZ$104</definedName>
    <definedName name="UNIT_CONNECT_LIST">TEHSHEET!$AZ$102:$AZ$104</definedName>
    <definedName name="VD_ID_LIST" localSheetId="38">[1]REESTR_VED!$A$2:$A$4</definedName>
    <definedName name="VD_ID_LIST" localSheetId="39">[2]REESTR_VED!$A$2:$A$4</definedName>
    <definedName name="VD_ID_LIST" localSheetId="40">[2]REESTR_VED!$A$2:$A$4</definedName>
    <definedName name="VD_ID_LIST" localSheetId="1">[3]REESTR_VED!$A$2:$A$11</definedName>
    <definedName name="VD_ID_LIST" localSheetId="36">[3]REESTR_VED!$A$2:$A$11</definedName>
    <definedName name="VD_ID_LIST" localSheetId="37">[3]REESTR_VED!$A$2:$A$11</definedName>
    <definedName name="VD_ID_LIST">REESTR_VED!$A$2:$A$11</definedName>
    <definedName name="VD_LIST">REESTR_VED!$A$2:$B$11</definedName>
    <definedName name="VD_NAME_LIST" localSheetId="38">[1]REESTR_VED!$B$2:$B$4</definedName>
    <definedName name="VD_NAME_LIST" localSheetId="39">[2]REESTR_VED!$B$2:$B$4</definedName>
    <definedName name="VD_NAME_LIST" localSheetId="40">[2]REESTR_VED!$B$2:$B$4</definedName>
    <definedName name="VD_NAME_LIST" localSheetId="1">[3]REESTR_VED!$B$2:$B$11</definedName>
    <definedName name="VD_NAME_LIST" localSheetId="36">[3]REESTR_VED!$B$2:$B$11</definedName>
    <definedName name="VD_NAME_LIST" localSheetId="37">[3]REESTR_VED!$B$2:$B$11</definedName>
    <definedName name="VD_NAME_LIST">REESTR_VED!$B$2:$B$11</definedName>
    <definedName name="VDET_END_DATE">TEHSHEET!$F$32</definedName>
    <definedName name="VDET_START_DATE">TEHSHEET!$E$32</definedName>
    <definedName name="version" localSheetId="39">[2]Инструкция!$B$3</definedName>
    <definedName name="version" localSheetId="40">[2]Инструкция!$B$3</definedName>
    <definedName name="version" localSheetId="1">[3]Инструкция!$B$3</definedName>
    <definedName name="version" localSheetId="36">[3]Инструкция!$B$3</definedName>
    <definedName name="version" localSheetId="37">[3]Инструкция!$B$3</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 localSheetId="39">'ГВС 2'!$F$12:$F$16</definedName>
    <definedName name="Y_N_DIFFERENTIATION_AREA" localSheetId="1">'ТЭ+Теплоноситель 2'!$F$12:$F$19</definedName>
    <definedName name="Y_N_DIFFERENTIATION_AREA">#REF!</definedName>
    <definedName name="Y_N_DIFFERENTIATION_SYSTEM" localSheetId="39">'ГВС 2'!$J$12:$J$16</definedName>
    <definedName name="Y_N_DIFFERENTIATION_SYSTEM" localSheetId="1">'ТЭ+Теплоноситель 2'!$J$12:$J$19</definedName>
    <definedName name="Y_N_DIFFERENTIATION_SYSTEM">#REF!</definedName>
    <definedName name="YEAR_IP_LIST">TEHSHEET!$BE$2:$BE$72</definedName>
    <definedName name="year_list" localSheetId="38">[1]TEHSHEET!$C$2:$C$6</definedName>
    <definedName name="year_list" localSheetId="39">[2]TEHSHEET!$C$2:$C$6</definedName>
    <definedName name="year_list" localSheetId="40">[2]TEHSHEET!$C$2:$C$6</definedName>
    <definedName name="year_list" localSheetId="1">[3]TEHSHEET!$C$2:$C$6</definedName>
    <definedName name="year_list" localSheetId="36">[3]TEHSHEET!$C$2:$C$6</definedName>
    <definedName name="year_list" localSheetId="37">[3]TEHSHEET!$C$2:$C$6</definedName>
    <definedName name="year_list">TEHSHEET!$C$2:$C$6</definedName>
    <definedName name="year_list1">TEHSHEET!$B$2:$B$27</definedName>
    <definedName name="_xlnm.Print_Area" localSheetId="38">'ГВС 1'!$E$4:$I$15</definedName>
    <definedName name="_xlnm.Print_Area" localSheetId="39">'ГВС 2'!$A$4:$M$16</definedName>
    <definedName name="_xlnm.Print_Area" localSheetId="40">'ГВС 3'!$D$5:$I$22</definedName>
    <definedName name="_xlnm.Print_Area" localSheetId="0">'ТЭ+Теплоноситель 1'!$E$4:$I$15</definedName>
    <definedName name="_xlnm.Print_Area" localSheetId="1">'ТЭ+Теплоноситель 2'!$A$4:$M$19</definedName>
    <definedName name="_xlnm.Print_Area" localSheetId="36">'ТЭ+Теплоноситель 3'!$D$22:$M$39</definedName>
    <definedName name="_xlnm.Print_Area" localSheetId="37">'ТЭ+Теплоноситель 4'!$D$5:$J$22</definedName>
  </definedNames>
  <calcPr calcId="125725"/>
</workbook>
</file>

<file path=xl/calcChain.xml><?xml version="1.0" encoding="utf-8"?>
<calcChain xmlns="http://schemas.openxmlformats.org/spreadsheetml/2006/main">
  <c r="J21" i="94"/>
  <c r="F21"/>
  <c r="J19"/>
  <c r="I19"/>
  <c r="H19"/>
  <c r="G19"/>
  <c r="F19"/>
  <c r="E19"/>
  <c r="J18"/>
  <c r="E18"/>
  <c r="J17"/>
  <c r="E17"/>
  <c r="J16"/>
  <c r="E16"/>
  <c r="J15"/>
  <c r="E15"/>
  <c r="I14"/>
  <c r="H14"/>
  <c r="G14"/>
  <c r="I11"/>
  <c r="H11"/>
  <c r="G11"/>
  <c r="I10"/>
  <c r="H10"/>
  <c r="G10"/>
  <c r="I9"/>
  <c r="H9"/>
  <c r="G9"/>
  <c r="D6"/>
  <c r="D5"/>
  <c r="F2"/>
  <c r="K28" i="93"/>
  <c r="I28"/>
  <c r="G28"/>
  <c r="K27"/>
  <c r="I27"/>
  <c r="G27"/>
  <c r="K26"/>
  <c r="I26"/>
  <c r="G26"/>
  <c r="D23"/>
  <c r="D22"/>
  <c r="D14"/>
  <c r="D13"/>
  <c r="D11"/>
  <c r="D10"/>
  <c r="D9"/>
  <c r="D7"/>
  <c r="D6"/>
  <c r="D4"/>
  <c r="D3"/>
  <c r="R16" i="92"/>
  <c r="Q16"/>
  <c r="I16"/>
  <c r="E16"/>
  <c r="P16" s="1"/>
  <c r="R13"/>
  <c r="Q13"/>
  <c r="E13"/>
  <c r="P13" s="1"/>
  <c r="E7"/>
  <c r="D5"/>
  <c r="D4"/>
  <c r="I21" i="91" l="1"/>
  <c r="F21"/>
  <c r="I19"/>
  <c r="H19"/>
  <c r="G19"/>
  <c r="F19"/>
  <c r="E19"/>
  <c r="I18"/>
  <c r="E18"/>
  <c r="I17"/>
  <c r="E17"/>
  <c r="I16"/>
  <c r="E16"/>
  <c r="I15"/>
  <c r="E15"/>
  <c r="H14"/>
  <c r="G14"/>
  <c r="H11"/>
  <c r="G11"/>
  <c r="H10"/>
  <c r="G10"/>
  <c r="H9"/>
  <c r="G9"/>
  <c r="D6"/>
  <c r="D5"/>
  <c r="F2"/>
  <c r="R13" i="90"/>
  <c r="Q13"/>
  <c r="E13"/>
  <c r="P13" s="1"/>
  <c r="E7"/>
  <c r="D5"/>
  <c r="D4"/>
  <c r="O13" i="87" l="1"/>
  <c r="M13" a="1"/>
  <c r="M13" s="1"/>
  <c r="E13"/>
  <c r="G12"/>
  <c r="E12"/>
  <c r="E4"/>
  <c r="R24" i="61"/>
  <c r="O18"/>
  <c r="P18" s="1"/>
  <c r="Q18" s="1"/>
  <c r="R18" s="1"/>
  <c r="S18" s="1"/>
  <c r="T18" s="1"/>
  <c r="V18" s="1"/>
  <c r="X18" s="1"/>
  <c r="O10"/>
  <c r="O9"/>
  <c r="O8"/>
  <c r="O7"/>
  <c r="AA32" i="60"/>
  <c r="AA31"/>
  <c r="AA30"/>
  <c r="AA29"/>
  <c r="AA28"/>
  <c r="AA27"/>
  <c r="AA26"/>
  <c r="R26"/>
  <c r="AA25"/>
  <c r="AA24"/>
  <c r="AA23"/>
  <c r="AA22"/>
  <c r="O22"/>
  <c r="L22"/>
  <c r="F23" s="1"/>
  <c r="AA21"/>
  <c r="O21"/>
  <c r="L21"/>
  <c r="AA20"/>
  <c r="O20"/>
  <c r="L20"/>
  <c r="AA19"/>
  <c r="O19"/>
  <c r="L19"/>
  <c r="Q18"/>
  <c r="R18" s="1"/>
  <c r="S18" s="1"/>
  <c r="T18" s="1"/>
  <c r="V18" s="1"/>
  <c r="W18" s="1"/>
  <c r="X18" s="1"/>
  <c r="N18"/>
  <c r="O18" s="1"/>
  <c r="O11"/>
  <c r="O10"/>
  <c r="O9"/>
  <c r="O8"/>
  <c r="L6"/>
  <c r="AA32" i="59"/>
  <c r="AA31"/>
  <c r="AA30"/>
  <c r="AA29"/>
  <c r="AA28"/>
  <c r="AA27"/>
  <c r="AA26"/>
  <c r="R26"/>
  <c r="AA25"/>
  <c r="AA24"/>
  <c r="AA23"/>
  <c r="AA22"/>
  <c r="O22"/>
  <c r="L22"/>
  <c r="F23" s="1"/>
  <c r="AA21"/>
  <c r="O21"/>
  <c r="L21"/>
  <c r="AA20"/>
  <c r="O20"/>
  <c r="L20"/>
  <c r="AA19"/>
  <c r="O19"/>
  <c r="L19"/>
  <c r="Q18"/>
  <c r="R18" s="1"/>
  <c r="S18" s="1"/>
  <c r="T18" s="1"/>
  <c r="V18" s="1"/>
  <c r="W18" s="1"/>
  <c r="X18" s="1"/>
  <c r="N18"/>
  <c r="O18" s="1"/>
  <c r="O11"/>
  <c r="O10"/>
  <c r="O9"/>
  <c r="O8"/>
  <c r="L6"/>
  <c r="AA32" i="58"/>
  <c r="AA31"/>
  <c r="AA30"/>
  <c r="AA29"/>
  <c r="AA28"/>
  <c r="AA27"/>
  <c r="AA26"/>
  <c r="R26"/>
  <c r="AA25"/>
  <c r="AA24"/>
  <c r="AA23"/>
  <c r="AA22"/>
  <c r="AA21"/>
  <c r="AA20"/>
  <c r="AA19"/>
  <c r="Q18"/>
  <c r="R18" s="1"/>
  <c r="S18" s="1"/>
  <c r="T18" s="1"/>
  <c r="V18" s="1"/>
  <c r="W18" s="1"/>
  <c r="X18" s="1"/>
  <c r="N18"/>
  <c r="O18" s="1"/>
  <c r="O11"/>
  <c r="O10"/>
  <c r="O9"/>
  <c r="O8"/>
  <c r="L6"/>
  <c r="M148" i="57"/>
  <c r="E12" i="41" s="1"/>
  <c r="K101" i="57"/>
  <c r="N101" s="1"/>
  <c r="K130" i="30" s="1"/>
  <c r="J101" i="57"/>
  <c r="M101" s="1"/>
  <c r="F130" i="30" s="1"/>
  <c r="I101" i="57"/>
  <c r="L101" s="1"/>
  <c r="E130" i="30" s="1"/>
  <c r="K100" i="57"/>
  <c r="N100" s="1"/>
  <c r="K129" i="30" s="1"/>
  <c r="J100" i="57"/>
  <c r="M100" s="1"/>
  <c r="F129" i="30" s="1"/>
  <c r="I100" i="57"/>
  <c r="L100" s="1"/>
  <c r="E129" i="30" s="1"/>
  <c r="K99" i="57"/>
  <c r="N99" s="1"/>
  <c r="K128" i="30" s="1"/>
  <c r="J99" i="57"/>
  <c r="M99" s="1"/>
  <c r="F128" i="30" s="1"/>
  <c r="I99" i="57"/>
  <c r="L99" s="1"/>
  <c r="E128" i="30" s="1"/>
  <c r="K98" i="57"/>
  <c r="N98" s="1"/>
  <c r="K127" i="30" s="1"/>
  <c r="J98" i="57"/>
  <c r="M98" s="1"/>
  <c r="F127" i="30" s="1"/>
  <c r="I98" i="57"/>
  <c r="L98" s="1"/>
  <c r="E127" i="30" s="1"/>
  <c r="K97" i="57"/>
  <c r="N97" s="1"/>
  <c r="K126" i="30" s="1"/>
  <c r="J97" i="57"/>
  <c r="M97" s="1"/>
  <c r="F126" i="30" s="1"/>
  <c r="I97" i="57"/>
  <c r="L97" s="1"/>
  <c r="E126" i="30" s="1"/>
  <c r="K96" i="57"/>
  <c r="N96" s="1"/>
  <c r="K123" i="30" s="1"/>
  <c r="J96" i="57"/>
  <c r="M96" s="1"/>
  <c r="F123" i="30" s="1"/>
  <c r="I96" i="57"/>
  <c r="L96" s="1"/>
  <c r="E123" i="30" s="1"/>
  <c r="E124" s="1"/>
  <c r="K95" i="57"/>
  <c r="N95" s="1"/>
  <c r="K120" i="30" s="1"/>
  <c r="J95" i="57"/>
  <c r="M95" s="1"/>
  <c r="F120" i="30" s="1"/>
  <c r="I95" i="57"/>
  <c r="L95" s="1"/>
  <c r="E120" i="30" s="1"/>
  <c r="E121" s="1"/>
  <c r="K94" i="57"/>
  <c r="N94" s="1"/>
  <c r="K117" i="30" s="1"/>
  <c r="J94" i="57"/>
  <c r="M94" s="1"/>
  <c r="F117" i="30" s="1"/>
  <c r="I94" i="57"/>
  <c r="L94" s="1"/>
  <c r="E117" i="30" s="1"/>
  <c r="E118" s="1"/>
  <c r="K93" i="57"/>
  <c r="N93" s="1"/>
  <c r="K116" i="30" s="1"/>
  <c r="J93" i="57"/>
  <c r="M93" s="1"/>
  <c r="F116" i="30" s="1"/>
  <c r="I93" i="57"/>
  <c r="L93" s="1"/>
  <c r="E116" i="30" s="1"/>
  <c r="K92" i="57"/>
  <c r="N92" s="1"/>
  <c r="K115" i="30" s="1"/>
  <c r="J92" i="57"/>
  <c r="M92" s="1"/>
  <c r="F115" i="30" s="1"/>
  <c r="I92" i="57"/>
  <c r="L92" s="1"/>
  <c r="E115" i="30" s="1"/>
  <c r="K91" i="57"/>
  <c r="N91" s="1"/>
  <c r="K114" i="30" s="1"/>
  <c r="J91" i="57"/>
  <c r="M91" s="1"/>
  <c r="F114" i="30" s="1"/>
  <c r="I91" i="57"/>
  <c r="L91" s="1"/>
  <c r="E114" i="30" s="1"/>
  <c r="K90" i="57"/>
  <c r="N90" s="1"/>
  <c r="K113" i="30" s="1"/>
  <c r="J90" i="57"/>
  <c r="M90" s="1"/>
  <c r="F113" i="30" s="1"/>
  <c r="I90" i="57"/>
  <c r="L90" s="1"/>
  <c r="E113" i="30" s="1"/>
  <c r="K89" i="57"/>
  <c r="N89" s="1"/>
  <c r="K112" i="30" s="1"/>
  <c r="J89" i="57"/>
  <c r="M89" s="1"/>
  <c r="F112" i="30" s="1"/>
  <c r="I89" i="57"/>
  <c r="L89" s="1"/>
  <c r="E112" i="30" s="1"/>
  <c r="K88" i="57"/>
  <c r="N88" s="1"/>
  <c r="K111" i="30" s="1"/>
  <c r="J88" i="57"/>
  <c r="M88" s="1"/>
  <c r="F111" i="30" s="1"/>
  <c r="I88" i="57"/>
  <c r="L88" s="1"/>
  <c r="E111" i="30" s="1"/>
  <c r="K87" i="57"/>
  <c r="N87" s="1"/>
  <c r="K110" i="30" s="1"/>
  <c r="J87" i="57"/>
  <c r="M87" s="1"/>
  <c r="F110" i="30" s="1"/>
  <c r="I87" i="57"/>
  <c r="L87" s="1"/>
  <c r="E110" i="30" s="1"/>
  <c r="K86" i="57"/>
  <c r="N86" s="1"/>
  <c r="K109" i="30" s="1"/>
  <c r="J86" i="57"/>
  <c r="M86" s="1"/>
  <c r="F109" i="30" s="1"/>
  <c r="I86" i="57"/>
  <c r="L86" s="1"/>
  <c r="E109" i="30" s="1"/>
  <c r="K85" i="57"/>
  <c r="N85" s="1"/>
  <c r="K108" i="30" s="1"/>
  <c r="J85" i="57"/>
  <c r="M85" s="1"/>
  <c r="F108" i="30" s="1"/>
  <c r="I85" i="57"/>
  <c r="L85" s="1"/>
  <c r="E108" i="30" s="1"/>
  <c r="K84" i="57"/>
  <c r="N84" s="1"/>
  <c r="K107" i="30" s="1"/>
  <c r="J84" i="57"/>
  <c r="M84" s="1"/>
  <c r="F107" i="30" s="1"/>
  <c r="I84" i="57"/>
  <c r="L84" s="1"/>
  <c r="E107" i="30" s="1"/>
  <c r="K83" i="57"/>
  <c r="N83" s="1"/>
  <c r="K106" i="30" s="1"/>
  <c r="J83" i="57"/>
  <c r="M83" s="1"/>
  <c r="F106" i="30" s="1"/>
  <c r="I83" i="57"/>
  <c r="L83" s="1"/>
  <c r="E106" i="30" s="1"/>
  <c r="K82" i="57"/>
  <c r="N82" s="1"/>
  <c r="K105" i="30" s="1"/>
  <c r="J82" i="57"/>
  <c r="M82" s="1"/>
  <c r="F105" i="30" s="1"/>
  <c r="I82" i="57"/>
  <c r="L82" s="1"/>
  <c r="E105" i="30" s="1"/>
  <c r="K81" i="57"/>
  <c r="N81" s="1"/>
  <c r="K104" i="30" s="1"/>
  <c r="J81" i="57"/>
  <c r="M81" s="1"/>
  <c r="F104" i="30" s="1"/>
  <c r="I81" i="57"/>
  <c r="L81" s="1"/>
  <c r="E104" i="30" s="1"/>
  <c r="K80" i="57"/>
  <c r="N80" s="1"/>
  <c r="K103" i="30" s="1"/>
  <c r="J80" i="57"/>
  <c r="M80" s="1"/>
  <c r="F103" i="30" s="1"/>
  <c r="I80" i="57"/>
  <c r="L80" s="1"/>
  <c r="E103" i="30" s="1"/>
  <c r="K79" i="57"/>
  <c r="N79" s="1"/>
  <c r="K102" i="30" s="1"/>
  <c r="J79" i="57"/>
  <c r="M79" s="1"/>
  <c r="F102" i="30" s="1"/>
  <c r="I79" i="57"/>
  <c r="L79" s="1"/>
  <c r="E102" i="30" s="1"/>
  <c r="K78" i="57"/>
  <c r="N78" s="1"/>
  <c r="K99" i="30" s="1"/>
  <c r="J78" i="57"/>
  <c r="M78" s="1"/>
  <c r="F99" i="30" s="1"/>
  <c r="I78" i="57"/>
  <c r="L78" s="1"/>
  <c r="E99" i="30" s="1"/>
  <c r="E100" s="1"/>
  <c r="K77" i="57"/>
  <c r="N77" s="1"/>
  <c r="K98" i="30" s="1"/>
  <c r="J77" i="57"/>
  <c r="M77" s="1"/>
  <c r="F98" i="30" s="1"/>
  <c r="I77" i="57"/>
  <c r="L77" s="1"/>
  <c r="E98" i="30" s="1"/>
  <c r="K76" i="57"/>
  <c r="N76" s="1"/>
  <c r="K97" i="30" s="1"/>
  <c r="J76" i="57"/>
  <c r="M76" s="1"/>
  <c r="F97" i="30" s="1"/>
  <c r="I76" i="57"/>
  <c r="L76" s="1"/>
  <c r="E97" i="30" s="1"/>
  <c r="K75" i="57"/>
  <c r="N75" s="1"/>
  <c r="K96" i="30" s="1"/>
  <c r="J75" i="57"/>
  <c r="M75" s="1"/>
  <c r="F96" i="30" s="1"/>
  <c r="I75" i="57"/>
  <c r="L75" s="1"/>
  <c r="E96" i="30" s="1"/>
  <c r="K74" i="57"/>
  <c r="N74" s="1"/>
  <c r="K95" i="30" s="1"/>
  <c r="J74" i="57"/>
  <c r="M74" s="1"/>
  <c r="F95" i="30" s="1"/>
  <c r="I74" i="57"/>
  <c r="L74" s="1"/>
  <c r="E95" i="30" s="1"/>
  <c r="K73" i="57"/>
  <c r="N73" s="1"/>
  <c r="K94" i="30" s="1"/>
  <c r="J73" i="57"/>
  <c r="M73" s="1"/>
  <c r="F94" i="30" s="1"/>
  <c r="I73" i="57"/>
  <c r="L73" s="1"/>
  <c r="E94" i="30" s="1"/>
  <c r="K72" i="57"/>
  <c r="N72" s="1"/>
  <c r="K93" i="30" s="1"/>
  <c r="J72" i="57"/>
  <c r="M72" s="1"/>
  <c r="F93" i="30" s="1"/>
  <c r="I72" i="57"/>
  <c r="L72" s="1"/>
  <c r="E93" i="30" s="1"/>
  <c r="K71" i="57"/>
  <c r="N71" s="1"/>
  <c r="K92" i="30" s="1"/>
  <c r="J71" i="57"/>
  <c r="M71" s="1"/>
  <c r="F92" i="30" s="1"/>
  <c r="I71" i="57"/>
  <c r="L71" s="1"/>
  <c r="E92" i="30" s="1"/>
  <c r="K70" i="57"/>
  <c r="N70" s="1"/>
  <c r="K91" i="30" s="1"/>
  <c r="J70" i="57"/>
  <c r="M70" s="1"/>
  <c r="F91" i="30" s="1"/>
  <c r="I70" i="57"/>
  <c r="L70" s="1"/>
  <c r="E91" i="30" s="1"/>
  <c r="K69" i="57"/>
  <c r="N69" s="1"/>
  <c r="K90" i="30" s="1"/>
  <c r="J69" i="57"/>
  <c r="M69" s="1"/>
  <c r="F90" i="30" s="1"/>
  <c r="I69" i="57"/>
  <c r="L69" s="1"/>
  <c r="E90" i="30" s="1"/>
  <c r="K68" i="57"/>
  <c r="N68" s="1"/>
  <c r="K89" i="30" s="1"/>
  <c r="J68" i="57"/>
  <c r="M68" s="1"/>
  <c r="F89" i="30" s="1"/>
  <c r="I68" i="57"/>
  <c r="L68" s="1"/>
  <c r="E89" i="30" s="1"/>
  <c r="K67" i="57"/>
  <c r="N67" s="1"/>
  <c r="K88" i="30" s="1"/>
  <c r="J67" i="57"/>
  <c r="M67" s="1"/>
  <c r="F88" i="30" s="1"/>
  <c r="I67" i="57"/>
  <c r="L67" s="1"/>
  <c r="E88" i="30" s="1"/>
  <c r="K66" i="57"/>
  <c r="N66" s="1"/>
  <c r="K87" i="30" s="1"/>
  <c r="J66" i="57"/>
  <c r="M66" s="1"/>
  <c r="F87" i="30" s="1"/>
  <c r="I66" i="57"/>
  <c r="L66" s="1"/>
  <c r="E87" i="30" s="1"/>
  <c r="K65" i="57"/>
  <c r="N65" s="1"/>
  <c r="K86" i="30" s="1"/>
  <c r="J65" i="57"/>
  <c r="M65" s="1"/>
  <c r="F86" i="30" s="1"/>
  <c r="I65" i="57"/>
  <c r="L65" s="1"/>
  <c r="E86" i="30" s="1"/>
  <c r="K64" i="57"/>
  <c r="N64" s="1"/>
  <c r="K85" i="30" s="1"/>
  <c r="J64" i="57"/>
  <c r="M64" s="1"/>
  <c r="F85" i="30" s="1"/>
  <c r="I64" i="57"/>
  <c r="L64" s="1"/>
  <c r="E85" i="30" s="1"/>
  <c r="K63" i="57"/>
  <c r="N63" s="1"/>
  <c r="K84" i="30" s="1"/>
  <c r="J63" i="57"/>
  <c r="M63" s="1"/>
  <c r="F84" i="30" s="1"/>
  <c r="I63" i="57"/>
  <c r="L63" s="1"/>
  <c r="E84" i="30" s="1"/>
  <c r="K62" i="57"/>
  <c r="N62" s="1"/>
  <c r="K83" i="30" s="1"/>
  <c r="J62" i="57"/>
  <c r="M62" s="1"/>
  <c r="F83" i="30" s="1"/>
  <c r="I62" i="57"/>
  <c r="L62" s="1"/>
  <c r="E83" i="30" s="1"/>
  <c r="K61" i="57"/>
  <c r="N61" s="1"/>
  <c r="K82" i="30" s="1"/>
  <c r="J61" i="57"/>
  <c r="M61" s="1"/>
  <c r="F82" i="30" s="1"/>
  <c r="I61" i="57"/>
  <c r="L61" s="1"/>
  <c r="E82" i="30" s="1"/>
  <c r="K60" i="57"/>
  <c r="N60" s="1"/>
  <c r="K81" i="30" s="1"/>
  <c r="J60" i="57"/>
  <c r="M60" s="1"/>
  <c r="F81" i="30" s="1"/>
  <c r="I60" i="57"/>
  <c r="L60" s="1"/>
  <c r="E81" i="30" s="1"/>
  <c r="K59" i="57"/>
  <c r="N59" s="1"/>
  <c r="K80" i="30" s="1"/>
  <c r="J59" i="57"/>
  <c r="M59" s="1"/>
  <c r="F80" i="30" s="1"/>
  <c r="I59" i="57"/>
  <c r="L59" s="1"/>
  <c r="E80" i="30" s="1"/>
  <c r="K58" i="57"/>
  <c r="N58" s="1"/>
  <c r="K79" i="30" s="1"/>
  <c r="J58" i="57"/>
  <c r="M58" s="1"/>
  <c r="F79" i="30" s="1"/>
  <c r="I58" i="57"/>
  <c r="L58" s="1"/>
  <c r="E79" i="30" s="1"/>
  <c r="K57" i="57"/>
  <c r="N57" s="1"/>
  <c r="K78" i="30" s="1"/>
  <c r="J57" i="57"/>
  <c r="M57" s="1"/>
  <c r="F78" i="30" s="1"/>
  <c r="I57" i="57"/>
  <c r="L57" s="1"/>
  <c r="E78" i="30" s="1"/>
  <c r="K56" i="57"/>
  <c r="N56" s="1"/>
  <c r="K77" i="30" s="1"/>
  <c r="J56" i="57"/>
  <c r="M56" s="1"/>
  <c r="F77" i="30" s="1"/>
  <c r="I56" i="57"/>
  <c r="L56" s="1"/>
  <c r="E77" i="30" s="1"/>
  <c r="K55" i="57"/>
  <c r="N55" s="1"/>
  <c r="K76" i="30" s="1"/>
  <c r="J55" i="57"/>
  <c r="M55" s="1"/>
  <c r="F76" i="30" s="1"/>
  <c r="I55" i="57"/>
  <c r="L55" s="1"/>
  <c r="E76" i="30" s="1"/>
  <c r="K54" i="57"/>
  <c r="N54" s="1"/>
  <c r="K75" i="30" s="1"/>
  <c r="J54" i="57"/>
  <c r="M54" s="1"/>
  <c r="F75" i="30" s="1"/>
  <c r="I54" i="57"/>
  <c r="L54" s="1"/>
  <c r="E75" i="30" s="1"/>
  <c r="K53" i="57"/>
  <c r="N53" s="1"/>
  <c r="K74" i="30" s="1"/>
  <c r="J53" i="57"/>
  <c r="M53" s="1"/>
  <c r="F74" i="30" s="1"/>
  <c r="I53" i="57"/>
  <c r="L53" s="1"/>
  <c r="E74" i="30" s="1"/>
  <c r="K52" i="57"/>
  <c r="N52" s="1"/>
  <c r="K73" i="30" s="1"/>
  <c r="J52" i="57"/>
  <c r="M52" s="1"/>
  <c r="F73" i="30" s="1"/>
  <c r="I52" i="57"/>
  <c r="L52" s="1"/>
  <c r="E73" i="30" s="1"/>
  <c r="K51" i="57"/>
  <c r="N51" s="1"/>
  <c r="K72" i="30" s="1"/>
  <c r="J51" i="57"/>
  <c r="M51" s="1"/>
  <c r="F72" i="30" s="1"/>
  <c r="I51" i="57"/>
  <c r="L51" s="1"/>
  <c r="E72" i="30" s="1"/>
  <c r="K50" i="57"/>
  <c r="N50" s="1"/>
  <c r="K69" i="30" s="1"/>
  <c r="J50" i="57"/>
  <c r="M50" s="1"/>
  <c r="F69" i="30" s="1"/>
  <c r="I50" i="57"/>
  <c r="L50" s="1"/>
  <c r="E69" i="30" s="1"/>
  <c r="K49" i="57"/>
  <c r="N49" s="1"/>
  <c r="K68" i="30" s="1"/>
  <c r="M68" s="1"/>
  <c r="J49" i="57"/>
  <c r="M49" s="1"/>
  <c r="F68" i="30" s="1"/>
  <c r="I49" i="57"/>
  <c r="L49" s="1"/>
  <c r="E68" i="30" s="1"/>
  <c r="L68" s="1"/>
  <c r="K48" i="57"/>
  <c r="N48" s="1"/>
  <c r="K67" i="30" s="1"/>
  <c r="J48" i="57"/>
  <c r="M48" s="1"/>
  <c r="F67" i="30" s="1"/>
  <c r="I48" i="57"/>
  <c r="L48" s="1"/>
  <c r="E67" i="30" s="1"/>
  <c r="L67" s="1"/>
  <c r="K47" i="57"/>
  <c r="N47" s="1"/>
  <c r="K66" i="30" s="1"/>
  <c r="M66" s="1"/>
  <c r="J47" i="57"/>
  <c r="M47" s="1"/>
  <c r="F66" i="30" s="1"/>
  <c r="I47" i="57"/>
  <c r="L47" s="1"/>
  <c r="E66" i="30" s="1"/>
  <c r="L66" s="1"/>
  <c r="K46" i="57"/>
  <c r="N46" s="1"/>
  <c r="K65" i="30" s="1"/>
  <c r="J46" i="57"/>
  <c r="M46" s="1"/>
  <c r="F65" i="30" s="1"/>
  <c r="I46" i="57"/>
  <c r="L46" s="1"/>
  <c r="E65" i="30" s="1"/>
  <c r="L65" s="1"/>
  <c r="K45" i="57"/>
  <c r="N45" s="1"/>
  <c r="K64" i="30" s="1"/>
  <c r="J45" i="57"/>
  <c r="M45" s="1"/>
  <c r="F64" i="30" s="1"/>
  <c r="I45" i="57"/>
  <c r="L45" s="1"/>
  <c r="E64" i="30" s="1"/>
  <c r="L64" s="1"/>
  <c r="K44" i="57"/>
  <c r="N44" s="1"/>
  <c r="K63" i="30" s="1"/>
  <c r="J44" i="57"/>
  <c r="M44" s="1"/>
  <c r="F63" i="30" s="1"/>
  <c r="I44" i="57"/>
  <c r="L44" s="1"/>
  <c r="E63" i="30" s="1"/>
  <c r="L63" s="1"/>
  <c r="K43" i="57"/>
  <c r="N43" s="1"/>
  <c r="K62" i="30" s="1"/>
  <c r="J43" i="57"/>
  <c r="M43" s="1"/>
  <c r="F62" i="30" s="1"/>
  <c r="I43" i="57"/>
  <c r="L43" s="1"/>
  <c r="E62" i="30" s="1"/>
  <c r="L62" s="1"/>
  <c r="K42" i="57"/>
  <c r="N42" s="1"/>
  <c r="K61" i="30" s="1"/>
  <c r="J42" i="57"/>
  <c r="M42" s="1"/>
  <c r="F61" i="30" s="1"/>
  <c r="I42" i="57"/>
  <c r="L42" s="1"/>
  <c r="E61" i="30" s="1"/>
  <c r="L61" s="1"/>
  <c r="K41" i="57"/>
  <c r="N41" s="1"/>
  <c r="K60" i="30" s="1"/>
  <c r="J41" i="57"/>
  <c r="M41" s="1"/>
  <c r="F60" i="30" s="1"/>
  <c r="I41" i="57"/>
  <c r="L41" s="1"/>
  <c r="E60" i="30" s="1"/>
  <c r="L60" s="1"/>
  <c r="K40" i="57"/>
  <c r="N40" s="1"/>
  <c r="K59" i="30" s="1"/>
  <c r="J40" i="57"/>
  <c r="M40" s="1"/>
  <c r="F59" i="30" s="1"/>
  <c r="I40" i="57"/>
  <c r="L40" s="1"/>
  <c r="E59" i="30" s="1"/>
  <c r="L59" s="1"/>
  <c r="K39" i="57"/>
  <c r="N39" s="1"/>
  <c r="K58" i="30" s="1"/>
  <c r="J39" i="57"/>
  <c r="M39" s="1"/>
  <c r="F58" i="30" s="1"/>
  <c r="I39" i="57"/>
  <c r="L39" s="1"/>
  <c r="E58" i="30" s="1"/>
  <c r="L58" s="1"/>
  <c r="K38" i="57"/>
  <c r="N38" s="1"/>
  <c r="K57" i="30" s="1"/>
  <c r="J38" i="57"/>
  <c r="M38" s="1"/>
  <c r="F57" i="30" s="1"/>
  <c r="I38" i="57"/>
  <c r="L38" s="1"/>
  <c r="E57" i="30" s="1"/>
  <c r="L57" s="1"/>
  <c r="K37" i="57"/>
  <c r="N37" s="1"/>
  <c r="K56" i="30" s="1"/>
  <c r="J37" i="57"/>
  <c r="M37" s="1"/>
  <c r="F56" i="30" s="1"/>
  <c r="I37" i="57"/>
  <c r="L37" s="1"/>
  <c r="E56" i="30" s="1"/>
  <c r="L56" s="1"/>
  <c r="K36" i="57"/>
  <c r="N36" s="1"/>
  <c r="K55" i="30" s="1"/>
  <c r="J36" i="57"/>
  <c r="M36" s="1"/>
  <c r="F55" i="30" s="1"/>
  <c r="I36" i="57"/>
  <c r="L36" s="1"/>
  <c r="E55" i="30" s="1"/>
  <c r="L55" s="1"/>
  <c r="K35" i="57"/>
  <c r="N35" s="1"/>
  <c r="K54" i="30" s="1"/>
  <c r="J35" i="57"/>
  <c r="M35" s="1"/>
  <c r="F54" i="30" s="1"/>
  <c r="I35" i="57"/>
  <c r="L35" s="1"/>
  <c r="E54" i="30" s="1"/>
  <c r="L54" s="1"/>
  <c r="K34" i="57"/>
  <c r="N34" s="1"/>
  <c r="K53" i="30" s="1"/>
  <c r="J34" i="57"/>
  <c r="M34" s="1"/>
  <c r="F53" i="30" s="1"/>
  <c r="I34" i="57"/>
  <c r="L34" s="1"/>
  <c r="E53" i="30" s="1"/>
  <c r="L53" s="1"/>
  <c r="K33" i="57"/>
  <c r="N33" s="1"/>
  <c r="K52" i="30" s="1"/>
  <c r="J33" i="57"/>
  <c r="M33" s="1"/>
  <c r="F52" i="30" s="1"/>
  <c r="I33" i="57"/>
  <c r="L33" s="1"/>
  <c r="E52" i="30" s="1"/>
  <c r="L52" s="1"/>
  <c r="K32" i="57"/>
  <c r="N32" s="1"/>
  <c r="K51" i="30" s="1"/>
  <c r="J32" i="57"/>
  <c r="M32" s="1"/>
  <c r="F51" i="30" s="1"/>
  <c r="I32" i="57"/>
  <c r="L32" s="1"/>
  <c r="E51" i="30" s="1"/>
  <c r="L51" s="1"/>
  <c r="K31" i="57"/>
  <c r="N31" s="1"/>
  <c r="K50" i="30" s="1"/>
  <c r="J31" i="57"/>
  <c r="M31" s="1"/>
  <c r="F50" i="30" s="1"/>
  <c r="I31" i="57"/>
  <c r="L31" s="1"/>
  <c r="E50" i="30" s="1"/>
  <c r="L50" s="1"/>
  <c r="K30" i="57"/>
  <c r="N30" s="1"/>
  <c r="K49" i="30" s="1"/>
  <c r="J30" i="57"/>
  <c r="M30" s="1"/>
  <c r="F49" i="30" s="1"/>
  <c r="I30" i="57"/>
  <c r="L30" s="1"/>
  <c r="E49" i="30" s="1"/>
  <c r="L49" s="1"/>
  <c r="K29" i="57"/>
  <c r="N29" s="1"/>
  <c r="K48" i="30" s="1"/>
  <c r="J29" i="57"/>
  <c r="M29" s="1"/>
  <c r="F48" i="30" s="1"/>
  <c r="I29" i="57"/>
  <c r="L29" s="1"/>
  <c r="E48" i="30" s="1"/>
  <c r="L48" s="1"/>
  <c r="K28" i="57"/>
  <c r="N28" s="1"/>
  <c r="K47" i="30" s="1"/>
  <c r="J28" i="57"/>
  <c r="M28" s="1"/>
  <c r="F47" i="30" s="1"/>
  <c r="I28" i="57"/>
  <c r="L28" s="1"/>
  <c r="E47" i="30" s="1"/>
  <c r="L47" s="1"/>
  <c r="K27" i="57"/>
  <c r="N27" s="1"/>
  <c r="K46" i="30" s="1"/>
  <c r="J27" i="57"/>
  <c r="M27" s="1"/>
  <c r="F46" i="30" s="1"/>
  <c r="I27" i="57"/>
  <c r="L27" s="1"/>
  <c r="E46" i="30" s="1"/>
  <c r="L46" s="1"/>
  <c r="K26" i="57"/>
  <c r="N26" s="1"/>
  <c r="K45" i="30" s="1"/>
  <c r="J26" i="57"/>
  <c r="M26" s="1"/>
  <c r="F45" i="30" s="1"/>
  <c r="I26" i="57"/>
  <c r="L26" s="1"/>
  <c r="E45" i="30" s="1"/>
  <c r="L45" s="1"/>
  <c r="K25" i="57"/>
  <c r="N25" s="1"/>
  <c r="K44" i="30" s="1"/>
  <c r="J25" i="57"/>
  <c r="M25" s="1"/>
  <c r="F44" i="30" s="1"/>
  <c r="I25" i="57"/>
  <c r="L25" s="1"/>
  <c r="E44" i="30" s="1"/>
  <c r="L44" s="1"/>
  <c r="K24" i="57"/>
  <c r="N24" s="1"/>
  <c r="K43" i="30" s="1"/>
  <c r="J24" i="57"/>
  <c r="M24" s="1"/>
  <c r="F43" i="30" s="1"/>
  <c r="I24" i="57"/>
  <c r="L24" s="1"/>
  <c r="E43" i="30" s="1"/>
  <c r="L43" s="1"/>
  <c r="K23" i="57"/>
  <c r="N23" s="1"/>
  <c r="K42" i="30" s="1"/>
  <c r="J23" i="57"/>
  <c r="M23" s="1"/>
  <c r="F42" i="30" s="1"/>
  <c r="I23" i="57"/>
  <c r="L23" s="1"/>
  <c r="E42" i="30" s="1"/>
  <c r="L42" s="1"/>
  <c r="K22" i="57"/>
  <c r="N22" s="1"/>
  <c r="K41" i="30" s="1"/>
  <c r="J22" i="57"/>
  <c r="M22" s="1"/>
  <c r="F41" i="30" s="1"/>
  <c r="I22" i="57"/>
  <c r="L22" s="1"/>
  <c r="E41" i="30" s="1"/>
  <c r="L41" s="1"/>
  <c r="K21" i="57"/>
  <c r="N21" s="1"/>
  <c r="K33" i="30" s="1"/>
  <c r="J21" i="57"/>
  <c r="M21" s="1"/>
  <c r="F33" i="30" s="1"/>
  <c r="I21" i="57"/>
  <c r="L21" s="1"/>
  <c r="E33" i="30" s="1"/>
  <c r="K20" i="57"/>
  <c r="N20" s="1"/>
  <c r="K32" i="30" s="1"/>
  <c r="J20" i="57"/>
  <c r="M20" s="1"/>
  <c r="F32" i="30" s="1"/>
  <c r="I20" i="57"/>
  <c r="L20" s="1"/>
  <c r="E32" i="30" s="1"/>
  <c r="L32" s="1"/>
  <c r="K19" i="57"/>
  <c r="N19" s="1"/>
  <c r="K31" i="30" s="1"/>
  <c r="J19" i="57"/>
  <c r="M19" s="1"/>
  <c r="F31" i="30" s="1"/>
  <c r="I19" i="57"/>
  <c r="L19" s="1"/>
  <c r="E31" i="30" s="1"/>
  <c r="K18" i="57"/>
  <c r="N18" s="1"/>
  <c r="K30" i="30" s="1"/>
  <c r="J18" i="57"/>
  <c r="M18" s="1"/>
  <c r="F30" i="30" s="1"/>
  <c r="I18" i="57"/>
  <c r="L18" s="1"/>
  <c r="E30" i="30" s="1"/>
  <c r="N16" i="57"/>
  <c r="N15"/>
  <c r="M15"/>
  <c r="N14"/>
  <c r="M14"/>
  <c r="N13"/>
  <c r="M13"/>
  <c r="N12"/>
  <c r="M12"/>
  <c r="N11"/>
  <c r="M11"/>
  <c r="N3"/>
  <c r="C34" i="56"/>
  <c r="C32"/>
  <c r="F5" i="37" s="1"/>
  <c r="C31" i="56"/>
  <c r="D4" i="8" s="1"/>
  <c r="C30" i="56"/>
  <c r="D14" i="42" s="1"/>
  <c r="C29" i="56"/>
  <c r="D5" i="44" s="1"/>
  <c r="C8" i="56"/>
  <c r="C7"/>
  <c r="E5" i="31" s="1"/>
  <c r="C6" i="56"/>
  <c r="E21" i="30" s="1"/>
  <c r="C5" i="56"/>
  <c r="D5" i="41" s="1"/>
  <c r="C4" i="56"/>
  <c r="C3"/>
  <c r="C2"/>
  <c r="I53" i="55"/>
  <c r="H53"/>
  <c r="G53"/>
  <c r="I52"/>
  <c r="H52"/>
  <c r="G52"/>
  <c r="I51"/>
  <c r="H51"/>
  <c r="G51"/>
  <c r="I50"/>
  <c r="H50"/>
  <c r="G50"/>
  <c r="I49"/>
  <c r="H49"/>
  <c r="G49"/>
  <c r="I48"/>
  <c r="H48"/>
  <c r="G48"/>
  <c r="I47"/>
  <c r="I45" s="1"/>
  <c r="H47"/>
  <c r="F29" s="1"/>
  <c r="G47"/>
  <c r="E32" s="1"/>
  <c r="I46"/>
  <c r="K45"/>
  <c r="E4" i="3" s="1"/>
  <c r="G36" i="55"/>
  <c r="E31" i="56" s="1"/>
  <c r="F36" i="55"/>
  <c r="U148" i="57" s="1"/>
  <c r="L5" i="55"/>
  <c r="L4"/>
  <c r="L3"/>
  <c r="V194" i="54"/>
  <c r="N179"/>
  <c r="N174"/>
  <c r="N168"/>
  <c r="N157"/>
  <c r="N152"/>
  <c r="N146"/>
  <c r="R131"/>
  <c r="Q131"/>
  <c r="Q122"/>
  <c r="H121"/>
  <c r="H120"/>
  <c r="H119"/>
  <c r="Q113"/>
  <c r="Q110"/>
  <c r="H109"/>
  <c r="H108"/>
  <c r="H107"/>
  <c r="F101"/>
  <c r="AD95"/>
  <c r="AD89"/>
  <c r="AD84"/>
  <c r="AD76"/>
  <c r="F73"/>
  <c r="P64"/>
  <c r="I29"/>
  <c r="I23"/>
  <c r="O19"/>
  <c r="M19" a="1"/>
  <c r="M19" s="1"/>
  <c r="F19"/>
  <c r="O14"/>
  <c r="M14" a="1"/>
  <c r="M14" s="1"/>
  <c r="F14"/>
  <c r="E14"/>
  <c r="E13"/>
  <c r="G13" s="1"/>
  <c r="S11" i="51" a="1"/>
  <c r="S11" s="1"/>
  <c r="G11"/>
  <c r="S2" a="1"/>
  <c r="S2" s="1"/>
  <c r="G2"/>
  <c r="R10" i="50"/>
  <c r="P10" a="1"/>
  <c r="P10" s="1"/>
  <c r="K8"/>
  <c r="R2"/>
  <c r="P2" a="1"/>
  <c r="P2" s="1"/>
  <c r="P9" i="49"/>
  <c r="N9" a="1"/>
  <c r="N9" s="1"/>
  <c r="E5"/>
  <c r="P2"/>
  <c r="N2" a="1"/>
  <c r="N2" s="1"/>
  <c r="F12" i="48"/>
  <c r="F2" i="50" s="1"/>
  <c r="D6" i="48"/>
  <c r="K14" i="45"/>
  <c r="I14"/>
  <c r="G14"/>
  <c r="G11"/>
  <c r="G10"/>
  <c r="G9"/>
  <c r="D6"/>
  <c r="E13" i="44"/>
  <c r="H12"/>
  <c r="E12"/>
  <c r="E11"/>
  <c r="E10"/>
  <c r="D6"/>
  <c r="F257" i="43"/>
  <c r="F199"/>
  <c r="F141"/>
  <c r="G17"/>
  <c r="F17"/>
  <c r="G16"/>
  <c r="F16"/>
  <c r="N7"/>
  <c r="N4"/>
  <c r="N1"/>
  <c r="E24" i="42"/>
  <c r="D15"/>
  <c r="G14" i="41"/>
  <c r="E13"/>
  <c r="D6"/>
  <c r="F6" i="39"/>
  <c r="H57" i="38"/>
  <c r="H56"/>
  <c r="H55"/>
  <c r="I54"/>
  <c r="H54" s="1"/>
  <c r="H53"/>
  <c r="H52"/>
  <c r="H51"/>
  <c r="H50"/>
  <c r="I49"/>
  <c r="H49"/>
  <c r="I48"/>
  <c r="H48" s="1"/>
  <c r="H47"/>
  <c r="H46"/>
  <c r="H45"/>
  <c r="I44"/>
  <c r="H44"/>
  <c r="H43"/>
  <c r="H42"/>
  <c r="H41"/>
  <c r="H40"/>
  <c r="I39"/>
  <c r="I38" s="1"/>
  <c r="H39"/>
  <c r="H35"/>
  <c r="H34"/>
  <c r="H33"/>
  <c r="I32"/>
  <c r="H32" s="1"/>
  <c r="H31"/>
  <c r="H30"/>
  <c r="H29"/>
  <c r="I28"/>
  <c r="H28"/>
  <c r="H27"/>
  <c r="H26"/>
  <c r="H25"/>
  <c r="H24"/>
  <c r="H23"/>
  <c r="H22"/>
  <c r="H21"/>
  <c r="H20"/>
  <c r="H19"/>
  <c r="H18"/>
  <c r="H17"/>
  <c r="H16"/>
  <c r="I15"/>
  <c r="I36" s="1"/>
  <c r="H36" s="1"/>
  <c r="H15"/>
  <c r="H11"/>
  <c r="F6"/>
  <c r="F6" i="37"/>
  <c r="H15" i="36"/>
  <c r="F6"/>
  <c r="L12" i="34"/>
  <c r="K12"/>
  <c r="J12"/>
  <c r="I12"/>
  <c r="H12"/>
  <c r="G12"/>
  <c r="G9"/>
  <c r="G8"/>
  <c r="G7"/>
  <c r="D4"/>
  <c r="E28" i="33"/>
  <c r="I27"/>
  <c r="I16" s="1"/>
  <c r="H27"/>
  <c r="H16" s="1"/>
  <c r="H12"/>
  <c r="H11"/>
  <c r="H10"/>
  <c r="E7"/>
  <c r="E33" i="32"/>
  <c r="I32"/>
  <c r="I16" s="1"/>
  <c r="H32"/>
  <c r="H16" s="1"/>
  <c r="H12"/>
  <c r="H11"/>
  <c r="H10"/>
  <c r="E7"/>
  <c r="Q26" i="31"/>
  <c r="V20"/>
  <c r="Q20"/>
  <c r="V17"/>
  <c r="Q17"/>
  <c r="E6"/>
  <c r="J87" i="30"/>
  <c r="I87"/>
  <c r="H87"/>
  <c r="J69"/>
  <c r="I69"/>
  <c r="H69"/>
  <c r="L40"/>
  <c r="L39"/>
  <c r="L38"/>
  <c r="L37"/>
  <c r="L36"/>
  <c r="L35"/>
  <c r="L34"/>
  <c r="J33"/>
  <c r="I33"/>
  <c r="H33"/>
  <c r="H27"/>
  <c r="H26"/>
  <c r="H25"/>
  <c r="E22"/>
  <c r="E7"/>
  <c r="E6"/>
  <c r="E5"/>
  <c r="E4"/>
  <c r="J3"/>
  <c r="I3"/>
  <c r="H3"/>
  <c r="E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S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5"/>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BF63" i="23"/>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0"/>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19"/>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18"/>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AB36"/>
  <c r="V36"/>
  <c r="AB35"/>
  <c r="V35"/>
  <c r="AB33"/>
  <c r="V33"/>
  <c r="AB32"/>
  <c r="V32"/>
  <c r="AB31"/>
  <c r="V31"/>
  <c r="AB30"/>
  <c r="V30"/>
  <c r="S28"/>
  <c r="S27"/>
  <c r="AX17"/>
  <c r="AX16"/>
  <c r="AX15"/>
  <c r="AX14"/>
  <c r="AX13"/>
  <c r="AX12"/>
  <c r="AX11"/>
  <c r="AO11"/>
  <c r="W11"/>
  <c r="AX8"/>
  <c r="AX7"/>
  <c r="AX6"/>
  <c r="AX5"/>
  <c r="AB5"/>
  <c r="S5"/>
  <c r="AX4"/>
  <c r="AB4"/>
  <c r="S4"/>
  <c r="AX3"/>
  <c r="AB3"/>
  <c r="S3"/>
  <c r="AX2"/>
  <c r="AB2"/>
  <c r="S2"/>
  <c r="AT65" i="17"/>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U7" s="1"/>
  <c r="AT4"/>
  <c r="AG4"/>
  <c r="U4"/>
  <c r="AT3"/>
  <c r="AG3"/>
  <c r="U3"/>
  <c r="AT2"/>
  <c r="AG2"/>
  <c r="U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S7"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E11" i="9"/>
  <c r="D7"/>
  <c r="F13" i="8"/>
  <c r="E13"/>
  <c r="F8"/>
  <c r="E8"/>
  <c r="D5"/>
  <c r="D53" i="7"/>
  <c r="D52"/>
  <c r="G50"/>
  <c r="E45"/>
  <c r="G44"/>
  <c r="E43"/>
  <c r="G42"/>
  <c r="E42"/>
  <c r="G38"/>
  <c r="E38"/>
  <c r="E37"/>
  <c r="E36"/>
  <c r="G35"/>
  <c r="E35"/>
  <c r="G34"/>
  <c r="E34"/>
  <c r="G33"/>
  <c r="E33"/>
  <c r="E32"/>
  <c r="A32"/>
  <c r="D32" s="1"/>
  <c r="G28"/>
  <c r="G27"/>
  <c r="G26"/>
  <c r="E18"/>
  <c r="G17"/>
  <c r="E17"/>
  <c r="G16"/>
  <c r="E16"/>
  <c r="F15"/>
  <c r="F14"/>
  <c r="G13"/>
  <c r="E13"/>
  <c r="E12"/>
  <c r="F11"/>
  <c r="D5"/>
  <c r="D4"/>
  <c r="D5" i="6"/>
  <c r="AQ116" i="5"/>
  <c r="AP116"/>
  <c r="S48" i="26" s="1"/>
  <c r="K52" s="1"/>
  <c r="S52" s="1"/>
  <c r="AO116" i="5"/>
  <c r="S47" i="26" s="1"/>
  <c r="AN116" i="5"/>
  <c r="S46" i="26" s="1"/>
  <c r="AM116" i="5"/>
  <c r="AL116"/>
  <c r="AD48" i="26" s="1"/>
  <c r="AK116" i="5"/>
  <c r="AD47" i="26" s="1"/>
  <c r="AJ116" i="5"/>
  <c r="AI116"/>
  <c r="AH116"/>
  <c r="AQ111"/>
  <c r="AP111"/>
  <c r="S43" i="25" s="1"/>
  <c r="I44" s="1"/>
  <c r="AO111" i="5"/>
  <c r="S42" i="25" s="1"/>
  <c r="AN111" i="5"/>
  <c r="S41" i="25" s="1"/>
  <c r="AM111" i="5"/>
  <c r="AL111"/>
  <c r="AC43" i="25" s="1"/>
  <c r="AK111" i="5"/>
  <c r="AC42" i="25" s="1"/>
  <c r="AJ111" i="5"/>
  <c r="AI111"/>
  <c r="AH111"/>
  <c r="AQ106"/>
  <c r="AP106"/>
  <c r="S43" i="24" s="1"/>
  <c r="I44" s="1"/>
  <c r="AO106" i="5"/>
  <c r="S42" i="24" s="1"/>
  <c r="AN106" i="5"/>
  <c r="S41" i="24" s="1"/>
  <c r="AM106" i="5"/>
  <c r="AL106"/>
  <c r="AC43" i="24" s="1"/>
  <c r="AK106" i="5"/>
  <c r="AC42" i="24" s="1"/>
  <c r="AJ106" i="5"/>
  <c r="AI106"/>
  <c r="AH106"/>
  <c r="AQ100"/>
  <c r="AP100"/>
  <c r="S48" i="29" s="1"/>
  <c r="K52" s="1"/>
  <c r="S52" s="1"/>
  <c r="AO100" i="5"/>
  <c r="S47" i="29" s="1"/>
  <c r="AN100" i="5"/>
  <c r="S46" i="29" s="1"/>
  <c r="AM100" i="5"/>
  <c r="AL100"/>
  <c r="AD48" i="29" s="1"/>
  <c r="AK100" i="5"/>
  <c r="AD47" i="29" s="1"/>
  <c r="AJ100" i="5"/>
  <c r="AI100"/>
  <c r="AH100"/>
  <c r="AQ95"/>
  <c r="AP95"/>
  <c r="AO95"/>
  <c r="AN95"/>
  <c r="AM95"/>
  <c r="AL95"/>
  <c r="AK95"/>
  <c r="AJ95"/>
  <c r="AI95"/>
  <c r="AH95"/>
  <c r="AQ90"/>
  <c r="AP90"/>
  <c r="AO90"/>
  <c r="S42" i="28" s="1"/>
  <c r="AN90" i="5"/>
  <c r="S41" i="28" s="1"/>
  <c r="AM90" i="5"/>
  <c r="AL90"/>
  <c r="AC43" i="28" s="1"/>
  <c r="AK90" i="5"/>
  <c r="AJ90"/>
  <c r="AI90"/>
  <c r="AH90"/>
  <c r="AQ84"/>
  <c r="AP84"/>
  <c r="S48" i="23" s="1"/>
  <c r="K52" s="1"/>
  <c r="S52" s="1"/>
  <c r="AO84" i="5"/>
  <c r="S47" i="23" s="1"/>
  <c r="AN84" i="5"/>
  <c r="S46" i="23" s="1"/>
  <c r="AM84" i="5"/>
  <c r="AL84"/>
  <c r="AD48" i="23" s="1"/>
  <c r="AK84" i="5"/>
  <c r="AD47" i="23" s="1"/>
  <c r="AJ84" i="5"/>
  <c r="AI84"/>
  <c r="AH84"/>
  <c r="AQ79"/>
  <c r="AP79"/>
  <c r="S43" i="22" s="1"/>
  <c r="I44" s="1"/>
  <c r="AO79" i="5"/>
  <c r="S42" i="22" s="1"/>
  <c r="AN79" i="5"/>
  <c r="S41" i="22" s="1"/>
  <c r="AM79" i="5"/>
  <c r="AL79"/>
  <c r="AC43" i="22" s="1"/>
  <c r="AK79" i="5"/>
  <c r="AC42" i="22" s="1"/>
  <c r="AJ79" i="5"/>
  <c r="AI79"/>
  <c r="AH79"/>
  <c r="AQ74"/>
  <c r="AP74"/>
  <c r="S43" i="21" s="1"/>
  <c r="I44" s="1"/>
  <c r="AO74" i="5"/>
  <c r="S42" i="21" s="1"/>
  <c r="AN74" i="5"/>
  <c r="S41" i="21" s="1"/>
  <c r="AM74" i="5"/>
  <c r="AL74"/>
  <c r="AC43" i="21" s="1"/>
  <c r="AK74" i="5"/>
  <c r="AC42" i="21" s="1"/>
  <c r="AJ74" i="5"/>
  <c r="AI74"/>
  <c r="AH74"/>
  <c r="AQ69"/>
  <c r="AP69"/>
  <c r="S43" i="20" s="1"/>
  <c r="I44" s="1"/>
  <c r="S44" s="1"/>
  <c r="AO69" i="5"/>
  <c r="S42" i="20" s="1"/>
  <c r="AN69" i="5"/>
  <c r="S41" i="20" s="1"/>
  <c r="AM69" i="5"/>
  <c r="AL69"/>
  <c r="AC43" i="20" s="1"/>
  <c r="AK69" i="5"/>
  <c r="AC42" i="20" s="1"/>
  <c r="AJ69" i="5"/>
  <c r="AI69"/>
  <c r="AH69"/>
  <c r="AQ64"/>
  <c r="AP64"/>
  <c r="S43" i="19" s="1"/>
  <c r="I44" s="1"/>
  <c r="AO64" i="5"/>
  <c r="S42" i="19" s="1"/>
  <c r="AN64" i="5"/>
  <c r="S41" i="19" s="1"/>
  <c r="AM64" i="5"/>
  <c r="AL64"/>
  <c r="AC43" i="19" s="1"/>
  <c r="AK64" i="5"/>
  <c r="AC42" i="19" s="1"/>
  <c r="AJ64" i="5"/>
  <c r="AI64"/>
  <c r="AH64"/>
  <c r="AQ48"/>
  <c r="S48" i="18" s="1"/>
  <c r="J50" s="1"/>
  <c r="AP48" i="5"/>
  <c r="S47" i="18" s="1"/>
  <c r="AO48" i="5"/>
  <c r="S46" i="18" s="1"/>
  <c r="AN48" i="5"/>
  <c r="S45" i="18" s="1"/>
  <c r="AM48" i="5"/>
  <c r="AB48" i="18" s="1"/>
  <c r="AL48" i="5"/>
  <c r="AB47" i="18" s="1"/>
  <c r="AK48" i="5"/>
  <c r="AB46" i="18" s="1"/>
  <c r="AJ48" i="5"/>
  <c r="AI48"/>
  <c r="AH48"/>
  <c r="AQ43"/>
  <c r="S46" i="13" s="1"/>
  <c r="I47" s="1"/>
  <c r="AP43" i="5"/>
  <c r="S45" i="13" s="1"/>
  <c r="AO43" i="5"/>
  <c r="S44" i="13" s="1"/>
  <c r="AN43" i="5"/>
  <c r="S43" i="13" s="1"/>
  <c r="AM43" i="5"/>
  <c r="AD46" i="13" s="1"/>
  <c r="AL43" i="5"/>
  <c r="AD45" i="13" s="1"/>
  <c r="AK43" i="5"/>
  <c r="AD44" i="13" s="1"/>
  <c r="AJ43" i="5"/>
  <c r="AD43" i="13" s="1"/>
  <c r="AI43" i="5"/>
  <c r="AH43"/>
  <c r="AQ38"/>
  <c r="S46" i="16" s="1"/>
  <c r="J48" s="1"/>
  <c r="K49" s="1"/>
  <c r="S49" s="1"/>
  <c r="AP38" i="5"/>
  <c r="S45" i="16" s="1"/>
  <c r="AO38" i="5"/>
  <c r="S44" i="16" s="1"/>
  <c r="AN38" i="5"/>
  <c r="S43" i="16" s="1"/>
  <c r="AM38" i="5"/>
  <c r="AD46" i="16" s="1"/>
  <c r="AL38" i="5"/>
  <c r="AD45" i="16" s="1"/>
  <c r="AK38" i="5"/>
  <c r="AD44" i="16" s="1"/>
  <c r="AJ38" i="5"/>
  <c r="AI38"/>
  <c r="AH38"/>
  <c r="AQ33"/>
  <c r="S46" i="15" s="1"/>
  <c r="AP33" i="5"/>
  <c r="S45" i="15" s="1"/>
  <c r="AO33" i="5"/>
  <c r="S44" i="15" s="1"/>
  <c r="AN33" i="5"/>
  <c r="S43" i="15" s="1"/>
  <c r="AM33" i="5"/>
  <c r="AD46" i="15" s="1"/>
  <c r="AL33" i="5"/>
  <c r="AD45" i="15" s="1"/>
  <c r="AK33" i="5"/>
  <c r="AD44" i="15" s="1"/>
  <c r="AJ33" i="5"/>
  <c r="AD43" i="15" s="1"/>
  <c r="AI33" i="5"/>
  <c r="AH33"/>
  <c r="AQ28"/>
  <c r="U52" i="17" s="1"/>
  <c r="I53" s="1"/>
  <c r="J54" s="1"/>
  <c r="AP28" i="5"/>
  <c r="U51" i="17" s="1"/>
  <c r="AO28" i="5"/>
  <c r="U50" i="17" s="1"/>
  <c r="AN28" i="5"/>
  <c r="U49" i="17" s="1"/>
  <c r="AM28" i="5"/>
  <c r="AG52" i="17" s="1"/>
  <c r="AL28" i="5"/>
  <c r="AG51" i="17" s="1"/>
  <c r="AK28" i="5"/>
  <c r="AG50" i="17" s="1"/>
  <c r="AJ28" i="5"/>
  <c r="AI28"/>
  <c r="AH28"/>
  <c r="AQ23"/>
  <c r="L22" i="58" s="1"/>
  <c r="F23" s="1"/>
  <c r="AP23" i="5"/>
  <c r="AO23"/>
  <c r="L20" i="58" s="1"/>
  <c r="AN23" i="5"/>
  <c r="L19" i="58" s="1"/>
  <c r="AM23" i="5"/>
  <c r="AL23"/>
  <c r="O21" i="58" s="1"/>
  <c r="AK23" i="5"/>
  <c r="O20" i="58" s="1"/>
  <c r="AJ23" i="5"/>
  <c r="AD43" i="14" s="1"/>
  <c r="AI23" i="5"/>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D43" i="11" s="1"/>
  <c r="AI13" i="5"/>
  <c r="AH13"/>
  <c r="D6"/>
  <c r="D5"/>
  <c r="O13" i="3"/>
  <c r="M13" a="1"/>
  <c r="M13" s="1"/>
  <c r="E13"/>
  <c r="E12"/>
  <c r="G12" s="1"/>
  <c r="K2" i="49"/>
  <c r="L21" i="61"/>
  <c r="AL46" i="28"/>
  <c r="AN8" i="16"/>
  <c r="AN49" i="11"/>
  <c r="M2" i="50"/>
  <c r="M10"/>
  <c r="AR56" i="17"/>
  <c r="Y25" i="58"/>
  <c r="AL46" i="24"/>
  <c r="Y23" i="61"/>
  <c r="AN49" i="14"/>
  <c r="AV8" i="18"/>
  <c r="AL7" i="21"/>
  <c r="P2" i="51"/>
  <c r="AL7" i="27"/>
  <c r="AN8" i="12"/>
  <c r="AR55" i="17"/>
  <c r="AL46" i="27"/>
  <c r="AN8" i="15"/>
  <c r="AN49" i="12"/>
  <c r="AL7" i="24"/>
  <c r="AL7" i="19"/>
  <c r="AL7" i="28"/>
  <c r="AL46" i="19"/>
  <c r="AL7" i="25"/>
  <c r="AL7" i="22"/>
  <c r="AL46" i="25"/>
  <c r="J13" i="3"/>
  <c r="AN8" i="13"/>
  <c r="AN8" i="14"/>
  <c r="J13" i="87"/>
  <c r="AL46" i="21"/>
  <c r="AR8" i="17"/>
  <c r="AL46" i="22"/>
  <c r="K9" i="49"/>
  <c r="P11" i="51"/>
  <c r="AL7" i="20"/>
  <c r="L22" i="61"/>
  <c r="AV51" i="18"/>
  <c r="L20" i="61"/>
  <c r="Y25" i="60"/>
  <c r="Y25" i="59"/>
  <c r="AN49" i="15"/>
  <c r="L23" i="61"/>
  <c r="AN49" i="13"/>
  <c r="AL46" i="20"/>
  <c r="L19" i="61"/>
  <c r="AN49" i="16"/>
  <c r="AN8" i="11"/>
  <c r="G17" i="41" l="1"/>
  <c r="J8" i="50"/>
  <c r="M142" i="43"/>
  <c r="F5" i="38"/>
  <c r="E32" i="42"/>
  <c r="M24" i="43"/>
  <c r="F5" i="39"/>
  <c r="E35" i="42"/>
  <c r="F23" i="43"/>
  <c r="D5" i="48"/>
  <c r="E16" i="41"/>
  <c r="E25" i="42"/>
  <c r="M258" i="43"/>
  <c r="G8" i="50"/>
  <c r="O9" i="51"/>
  <c r="S5" i="27"/>
  <c r="E70" i="30"/>
  <c r="L70" s="1"/>
  <c r="L69"/>
  <c r="S5" i="24"/>
  <c r="F5" i="36"/>
  <c r="E31" i="42"/>
  <c r="E42"/>
  <c r="E14" i="43"/>
  <c r="M84"/>
  <c r="M200"/>
  <c r="E5" i="50"/>
  <c r="D3" i="34"/>
  <c r="E28" i="42"/>
  <c r="E38"/>
  <c r="F81" i="43"/>
  <c r="S5" i="19"/>
  <c r="J6"/>
  <c r="S6" s="1"/>
  <c r="L6" i="55"/>
  <c r="E3" i="56"/>
  <c r="E32"/>
  <c r="F32" i="55"/>
  <c r="E5" i="56"/>
  <c r="AA12" i="57"/>
  <c r="AA16"/>
  <c r="E30" i="56"/>
  <c r="K9" i="45"/>
  <c r="J25" i="30"/>
  <c r="K7" i="34"/>
  <c r="H23" i="31"/>
  <c r="J45" i="22"/>
  <c r="S44"/>
  <c r="J45" i="25"/>
  <c r="S44"/>
  <c r="S6" i="11"/>
  <c r="J7"/>
  <c r="S7" i="16"/>
  <c r="K8"/>
  <c r="S8" s="1"/>
  <c r="J48" i="11"/>
  <c r="S47"/>
  <c r="J48" i="15"/>
  <c r="I47"/>
  <c r="J48" i="13"/>
  <c r="S47"/>
  <c r="J7" i="12"/>
  <c r="S6"/>
  <c r="S44" i="19"/>
  <c r="J45"/>
  <c r="S6" i="13"/>
  <c r="J7"/>
  <c r="H14" i="31"/>
  <c r="I25" i="30"/>
  <c r="I10" i="33"/>
  <c r="I10" i="32"/>
  <c r="I7" i="34"/>
  <c r="I9" i="45"/>
  <c r="S47" i="12"/>
  <c r="J48"/>
  <c r="U54" i="17"/>
  <c r="K55"/>
  <c r="D33" i="7"/>
  <c r="D36"/>
  <c r="D37" s="1"/>
  <c r="D38" s="1"/>
  <c r="D35"/>
  <c r="D34"/>
  <c r="S7" i="14"/>
  <c r="K8"/>
  <c r="S8" s="1"/>
  <c r="K9" i="34"/>
  <c r="H25" i="31"/>
  <c r="K11" i="45"/>
  <c r="J27" i="30"/>
  <c r="O22" i="58"/>
  <c r="AD46" i="14"/>
  <c r="L23" i="58"/>
  <c r="G24"/>
  <c r="AC42" i="27"/>
  <c r="AC42" i="28"/>
  <c r="S5" i="25"/>
  <c r="J6"/>
  <c r="S48" i="16"/>
  <c r="I49" i="18"/>
  <c r="AC43" i="27"/>
  <c r="I9" i="34"/>
  <c r="I11" i="45"/>
  <c r="I12" i="33"/>
  <c r="I12" i="32"/>
  <c r="H16" i="31"/>
  <c r="I27" i="30"/>
  <c r="H24" i="31"/>
  <c r="J26" i="30"/>
  <c r="K8" i="34"/>
  <c r="K10" i="45"/>
  <c r="F258" i="43"/>
  <c r="F200"/>
  <c r="F142"/>
  <c r="F84"/>
  <c r="F24"/>
  <c r="G261"/>
  <c r="G203"/>
  <c r="G145"/>
  <c r="G87"/>
  <c r="G27"/>
  <c r="F264"/>
  <c r="F206"/>
  <c r="F148"/>
  <c r="F90"/>
  <c r="F30"/>
  <c r="L21" i="58"/>
  <c r="S45" i="14"/>
  <c r="AG49" i="17"/>
  <c r="G267" i="43"/>
  <c r="G209"/>
  <c r="G151"/>
  <c r="G93"/>
  <c r="G33"/>
  <c r="F270"/>
  <c r="F212"/>
  <c r="F154"/>
  <c r="F96"/>
  <c r="F36"/>
  <c r="G273"/>
  <c r="G215"/>
  <c r="G157"/>
  <c r="G99"/>
  <c r="G39"/>
  <c r="F276"/>
  <c r="F218"/>
  <c r="F160"/>
  <c r="F102"/>
  <c r="F42"/>
  <c r="G279"/>
  <c r="G221"/>
  <c r="G163"/>
  <c r="G105"/>
  <c r="G45"/>
  <c r="F282"/>
  <c r="F224"/>
  <c r="F166"/>
  <c r="F108"/>
  <c r="F48"/>
  <c r="G285"/>
  <c r="G227"/>
  <c r="G169"/>
  <c r="G111"/>
  <c r="G51"/>
  <c r="F288"/>
  <c r="F230"/>
  <c r="F172"/>
  <c r="F114"/>
  <c r="F54"/>
  <c r="J45" i="21"/>
  <c r="S44"/>
  <c r="AC41" i="22"/>
  <c r="G291" i="43"/>
  <c r="G233"/>
  <c r="G175"/>
  <c r="G117"/>
  <c r="G57"/>
  <c r="F294"/>
  <c r="F236"/>
  <c r="F178"/>
  <c r="F120"/>
  <c r="F60"/>
  <c r="AC41" i="27"/>
  <c r="AC41" i="28"/>
  <c r="G297" i="43"/>
  <c r="G239"/>
  <c r="G181"/>
  <c r="G123"/>
  <c r="G63"/>
  <c r="F300"/>
  <c r="F242"/>
  <c r="F184"/>
  <c r="F126"/>
  <c r="F66"/>
  <c r="G303"/>
  <c r="G245"/>
  <c r="G187"/>
  <c r="G129"/>
  <c r="G69"/>
  <c r="AD46" i="29"/>
  <c r="F306" i="43"/>
  <c r="F248"/>
  <c r="F190"/>
  <c r="F132"/>
  <c r="F72"/>
  <c r="J45" i="24"/>
  <c r="S44"/>
  <c r="AC41" i="25"/>
  <c r="G309" i="43"/>
  <c r="G251"/>
  <c r="G193"/>
  <c r="G135"/>
  <c r="G75"/>
  <c r="F312"/>
  <c r="F254"/>
  <c r="F196"/>
  <c r="F138"/>
  <c r="F78"/>
  <c r="K8" i="18"/>
  <c r="S8" s="1"/>
  <c r="I6"/>
  <c r="J6" i="20"/>
  <c r="S5"/>
  <c r="K7" i="27"/>
  <c r="S7" s="1"/>
  <c r="S6"/>
  <c r="L23" i="59"/>
  <c r="G24"/>
  <c r="AD44" i="14"/>
  <c r="S46"/>
  <c r="J7" i="18"/>
  <c r="AB45"/>
  <c r="K51"/>
  <c r="S51" s="1"/>
  <c r="S41" i="27"/>
  <c r="I8" i="34"/>
  <c r="H15" i="31"/>
  <c r="I10" i="45"/>
  <c r="I11" i="33"/>
  <c r="I11" i="32"/>
  <c r="I26" i="30"/>
  <c r="K7" i="21"/>
  <c r="S7" s="1"/>
  <c r="S6"/>
  <c r="I58" i="38"/>
  <c r="H58" s="1"/>
  <c r="H38"/>
  <c r="B34" i="30"/>
  <c r="L33"/>
  <c r="S43" i="14"/>
  <c r="S44"/>
  <c r="K8" i="15"/>
  <c r="S8" s="1"/>
  <c r="I47" i="16"/>
  <c r="K7" i="19"/>
  <c r="S7" s="1"/>
  <c r="AC41" i="20"/>
  <c r="S42" i="27"/>
  <c r="G258" i="43"/>
  <c r="G200"/>
  <c r="G142"/>
  <c r="G84"/>
  <c r="G24"/>
  <c r="G2"/>
  <c r="G5"/>
  <c r="F261"/>
  <c r="F203"/>
  <c r="F145"/>
  <c r="F87"/>
  <c r="F27"/>
  <c r="O19" i="58"/>
  <c r="G264" i="43"/>
  <c r="G206"/>
  <c r="G148"/>
  <c r="G90"/>
  <c r="G30"/>
  <c r="F267"/>
  <c r="F209"/>
  <c r="F151"/>
  <c r="F93"/>
  <c r="F33"/>
  <c r="G270"/>
  <c r="G212"/>
  <c r="G154"/>
  <c r="G96"/>
  <c r="G36"/>
  <c r="F273"/>
  <c r="F215"/>
  <c r="F157"/>
  <c r="F99"/>
  <c r="F39"/>
  <c r="G276"/>
  <c r="G218"/>
  <c r="G160"/>
  <c r="G102"/>
  <c r="G42"/>
  <c r="F279"/>
  <c r="F221"/>
  <c r="F163"/>
  <c r="F105"/>
  <c r="F45"/>
  <c r="G282"/>
  <c r="G224"/>
  <c r="G166"/>
  <c r="G108"/>
  <c r="G48"/>
  <c r="F285"/>
  <c r="F227"/>
  <c r="F169"/>
  <c r="F111"/>
  <c r="F51"/>
  <c r="G288"/>
  <c r="G230"/>
  <c r="G172"/>
  <c r="G114"/>
  <c r="G54"/>
  <c r="AC41" i="21"/>
  <c r="F291" i="43"/>
  <c r="F233"/>
  <c r="F175"/>
  <c r="F117"/>
  <c r="F57"/>
  <c r="G294"/>
  <c r="G236"/>
  <c r="G178"/>
  <c r="G120"/>
  <c r="G60"/>
  <c r="AD46" i="23"/>
  <c r="F297" i="43"/>
  <c r="F239"/>
  <c r="F181"/>
  <c r="F123"/>
  <c r="F63"/>
  <c r="S43" i="28"/>
  <c r="I44" s="1"/>
  <c r="S43" i="27"/>
  <c r="I44" s="1"/>
  <c r="G300" i="43"/>
  <c r="G242"/>
  <c r="G184"/>
  <c r="G126"/>
  <c r="G66"/>
  <c r="F303"/>
  <c r="F245"/>
  <c r="F187"/>
  <c r="F129"/>
  <c r="F69"/>
  <c r="G306"/>
  <c r="G248"/>
  <c r="G190"/>
  <c r="G132"/>
  <c r="G72"/>
  <c r="AC41" i="24"/>
  <c r="F309" i="43"/>
  <c r="F251"/>
  <c r="F193"/>
  <c r="F135"/>
  <c r="F75"/>
  <c r="G312"/>
  <c r="G254"/>
  <c r="G196"/>
  <c r="G138"/>
  <c r="G78"/>
  <c r="AD46" i="26"/>
  <c r="S5" i="22"/>
  <c r="J6"/>
  <c r="K7" i="24"/>
  <c r="S7" s="1"/>
  <c r="S6"/>
  <c r="L23" i="60"/>
  <c r="G24"/>
  <c r="AD43" i="12"/>
  <c r="AD45" i="14"/>
  <c r="AD43" i="16"/>
  <c r="K8" i="17"/>
  <c r="AC41" i="19"/>
  <c r="J45" i="20"/>
  <c r="S5" i="21"/>
  <c r="J6" i="28"/>
  <c r="F10" i="50"/>
  <c r="E29" i="55"/>
  <c r="AA11" i="57"/>
  <c r="U15"/>
  <c r="J46" i="55"/>
  <c r="J47"/>
  <c r="J45" s="1"/>
  <c r="AA13" i="57"/>
  <c r="J49" i="55"/>
  <c r="J50"/>
  <c r="J51"/>
  <c r="J52"/>
  <c r="E4" i="56"/>
  <c r="E6"/>
  <c r="E29"/>
  <c r="U14" i="57"/>
  <c r="AA15"/>
  <c r="S45" i="20" l="1"/>
  <c r="K46"/>
  <c r="S46" s="1"/>
  <c r="S44" i="28"/>
  <c r="J45"/>
  <c r="S6" i="20"/>
  <c r="K7"/>
  <c r="S7" s="1"/>
  <c r="K8" i="12"/>
  <c r="S8" s="1"/>
  <c r="S7"/>
  <c r="S48" i="15"/>
  <c r="K49"/>
  <c r="S49" s="1"/>
  <c r="K46" i="25"/>
  <c r="S46" s="1"/>
  <c r="S45"/>
  <c r="J45" i="27"/>
  <c r="S44"/>
  <c r="H31" i="30"/>
  <c r="H136" s="1"/>
  <c r="I31"/>
  <c r="I136" s="1"/>
  <c r="J31"/>
  <c r="J136" s="1"/>
  <c r="H25" i="59"/>
  <c r="L25" s="1"/>
  <c r="L24"/>
  <c r="S45" i="24"/>
  <c r="K46"/>
  <c r="S46" s="1"/>
  <c r="S45" i="21"/>
  <c r="K46"/>
  <c r="S46" s="1"/>
  <c r="K7" i="25"/>
  <c r="S7" s="1"/>
  <c r="S6"/>
  <c r="H25" i="58"/>
  <c r="L25" s="1"/>
  <c r="L24"/>
  <c r="U55" i="17"/>
  <c r="L56"/>
  <c r="U56" s="1"/>
  <c r="S7" i="13"/>
  <c r="K8"/>
  <c r="S8" s="1"/>
  <c r="S6" i="28"/>
  <c r="K7"/>
  <c r="S7" s="1"/>
  <c r="U8" i="17"/>
  <c r="L9"/>
  <c r="U9" s="1"/>
  <c r="H25" i="60"/>
  <c r="L25" s="1"/>
  <c r="L24"/>
  <c r="K7" i="22"/>
  <c r="S7" s="1"/>
  <c r="S6"/>
  <c r="K49" i="13"/>
  <c r="S49" s="1"/>
  <c r="S48"/>
  <c r="K49" i="11"/>
  <c r="S49" s="1"/>
  <c r="S48"/>
  <c r="K46" i="22"/>
  <c r="S46" s="1"/>
  <c r="S45"/>
  <c r="J48" i="14"/>
  <c r="I47"/>
  <c r="D39" i="7"/>
  <c r="D40"/>
  <c r="D42"/>
  <c r="D43" s="1"/>
  <c r="D44" s="1"/>
  <c r="S48" i="12"/>
  <c r="K49"/>
  <c r="S49" s="1"/>
  <c r="K46" i="19"/>
  <c r="S46" s="1"/>
  <c r="S45"/>
  <c r="S7" i="11"/>
  <c r="K8"/>
  <c r="S8" s="1"/>
  <c r="K46" i="28" l="1"/>
  <c r="S46" s="1"/>
  <c r="S45"/>
  <c r="S45" i="27"/>
  <c r="K46"/>
  <c r="S46" s="1"/>
  <c r="D47" i="7"/>
  <c r="D48"/>
  <c r="D45"/>
  <c r="D50"/>
  <c r="D46"/>
  <c r="K49" i="14"/>
  <c r="S49" s="1"/>
  <c r="S48"/>
</calcChain>
</file>

<file path=xl/comments1.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<sst xmlns="http://schemas.openxmlformats.org/spreadsheetml/2006/main" count="23815" uniqueCount="5443">
  <si>
    <t>Свердловская область</t>
  </si>
  <si>
    <t/>
  </si>
  <si>
    <t>ORG</t>
  </si>
  <si>
    <t>QUARTER</t>
  </si>
  <si>
    <t>III квартал</t>
  </si>
  <si>
    <t>первичное раскрытие информации</t>
  </si>
  <si>
    <t>Наименование органа регулирования, принявшего решение об утверждении тарифов</t>
  </si>
  <si>
    <t>Источник официального опубликования решения</t>
  </si>
  <si>
    <t>Акционерное общество "Уральский завод металлоконструкций", г.Екатеринбург</t>
  </si>
  <si>
    <t>ИНН</t>
  </si>
  <si>
    <t>6660000590</t>
  </si>
  <si>
    <t>КПП</t>
  </si>
  <si>
    <t>667001001</t>
  </si>
  <si>
    <t>Регулируемая организация</t>
  </si>
  <si>
    <t>ОСН</t>
  </si>
  <si>
    <t>нет</t>
  </si>
  <si>
    <t>да</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</si>
  <si>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</si>
  <si>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</si>
  <si>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</si>
  <si>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</si>
  <si>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</si>
  <si>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</si>
  <si>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</si>
  <si>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</si>
  <si>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</si>
  <si>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</si>
  <si>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</si>
  <si>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</si>
  <si>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</si>
  <si>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</si>
  <si>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</si>
  <si>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</si>
  <si>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94</t>
  </si>
  <si>
    <t>муниципальное образование город Екатеринбург</t>
  </si>
  <si>
    <t>65701000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</si>
  <si>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</si>
  <si>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</si>
  <si>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</si>
  <si>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</si>
  <si>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</si>
  <si>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</si>
  <si>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</si>
  <si>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</si>
  <si>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</si>
  <si>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</si>
  <si>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</si>
  <si>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</si>
  <si>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</si>
  <si>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</si>
  <si>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</si>
  <si>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</si>
  <si>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</si>
  <si>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</si>
  <si>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</si>
  <si>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</si>
  <si>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t>
  </si>
  <si>
    <t>diff_66</t>
  </si>
  <si>
    <t>4190067; 4190069;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</si>
  <si>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</si>
  <si>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</si>
  <si>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</si>
  <si>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</si>
  <si>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</si>
  <si>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</si>
  <si>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</si>
  <si>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</si>
  <si>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</si>
  <si>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</si>
  <si>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</si>
  <si>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</si>
  <si>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</si>
  <si>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</si>
  <si>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</si>
  <si>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</si>
  <si>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</si>
  <si>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</si>
  <si>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</si>
  <si>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</si>
  <si>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</si>
  <si>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</si>
  <si>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</si>
  <si>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</si>
  <si>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</si>
  <si>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</si>
  <si>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</si>
  <si>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</si>
  <si>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</si>
  <si>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</si>
  <si>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</si>
  <si>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</si>
  <si>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</si>
  <si>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</si>
  <si>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</si>
  <si>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</si>
  <si>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</si>
  <si>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</si>
  <si>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</si>
  <si>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</si>
  <si>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</si>
  <si>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</si>
  <si>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</si>
  <si>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</si>
  <si>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</si>
  <si>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</si>
  <si>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</si>
  <si>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</si>
  <si>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</si>
  <si>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</si>
  <si>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</si>
  <si>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</si>
  <si>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</si>
  <si>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</si>
  <si>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</si>
  <si>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</si>
  <si>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</si>
  <si>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</si>
  <si>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</si>
  <si>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</si>
  <si>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</si>
  <si>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</si>
  <si>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</si>
  <si>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</si>
  <si>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</si>
  <si>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</si>
  <si>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</si>
  <si>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</si>
  <si>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</si>
  <si>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</si>
  <si>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</si>
  <si>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</si>
  <si>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</si>
  <si>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</si>
  <si>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</si>
  <si>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</si>
  <si>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</si>
  <si>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</si>
  <si>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</si>
  <si>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</si>
  <si>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</si>
  <si>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</si>
  <si>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</si>
  <si>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</si>
  <si>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</si>
  <si>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</si>
  <si>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</si>
  <si>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</si>
  <si>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</si>
  <si>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</si>
  <si>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</si>
  <si>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</si>
  <si>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</si>
  <si>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</si>
  <si>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</si>
  <si>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</si>
  <si>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</si>
  <si>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</si>
  <si>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</si>
  <si>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</si>
  <si>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</si>
  <si>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</si>
  <si>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</si>
  <si>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</si>
  <si>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</si>
  <si>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</si>
  <si>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</si>
  <si>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</si>
  <si>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</si>
  <si>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</si>
  <si>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</si>
  <si>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</si>
  <si>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</si>
  <si>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</si>
  <si>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</si>
  <si>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</si>
  <si>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</si>
  <si>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</si>
  <si>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</si>
  <si>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</si>
  <si>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</si>
  <si>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</si>
  <si>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</si>
  <si>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</si>
  <si>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</si>
  <si>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</si>
  <si>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</si>
  <si>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</si>
  <si>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</si>
  <si>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</si>
  <si>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</si>
  <si>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</si>
  <si>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</si>
  <si>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</si>
  <si>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</si>
  <si>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</si>
  <si>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</si>
  <si>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</si>
  <si>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</si>
  <si>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</si>
  <si>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</si>
  <si>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</si>
  <si>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</si>
  <si>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</si>
  <si>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</si>
  <si>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</si>
  <si>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</si>
  <si>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</si>
  <si>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</si>
  <si>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</si>
  <si>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</si>
  <si>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</si>
  <si>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</si>
  <si>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</si>
  <si>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</si>
  <si>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</si>
  <si>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</si>
  <si>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</si>
  <si>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</si>
  <si>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</si>
  <si>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</si>
  <si>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</si>
  <si>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</si>
  <si>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</si>
  <si>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</si>
  <si>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</si>
  <si>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</si>
  <si>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</si>
  <si>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</si>
  <si>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</si>
  <si>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</si>
  <si>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</si>
  <si>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</si>
  <si>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</si>
  <si>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</si>
  <si>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</si>
  <si>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</si>
  <si>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</si>
  <si>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</si>
  <si>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</si>
  <si>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</si>
  <si>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</si>
  <si>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</si>
  <si>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</si>
  <si>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</si>
  <si>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</si>
  <si>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</si>
  <si>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</si>
  <si>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</si>
  <si>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</si>
  <si>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</si>
  <si>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</si>
  <si>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</si>
  <si>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</si>
  <si>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</si>
  <si>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</si>
  <si>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</si>
  <si>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</si>
  <si>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</si>
  <si>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</si>
  <si>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</si>
  <si>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</si>
  <si>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</si>
  <si>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</si>
  <si>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</si>
  <si>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</si>
  <si>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</si>
  <si>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</si>
  <si>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</si>
  <si>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</si>
  <si>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</si>
  <si>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</si>
  <si>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</si>
  <si>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</si>
  <si>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</si>
  <si>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</si>
  <si>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</si>
  <si>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</si>
  <si>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</si>
  <si>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</si>
  <si>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</si>
  <si>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</si>
  <si>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</si>
  <si>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</si>
  <si>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</si>
  <si>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</si>
  <si>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</si>
  <si>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</si>
  <si>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</si>
  <si>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</si>
  <si>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</si>
  <si>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</si>
  <si>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</si>
  <si>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</si>
  <si>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</si>
  <si>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</si>
  <si>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</si>
  <si>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</si>
  <si>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</si>
  <si>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</si>
  <si>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</si>
  <si>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</si>
  <si>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</si>
  <si>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</si>
  <si>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</si>
  <si>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</si>
  <si>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</si>
  <si>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</si>
  <si>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</si>
  <si>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</si>
  <si>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</si>
  <si>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</si>
  <si>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</si>
  <si>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</si>
  <si>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</si>
  <si>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</si>
  <si>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</si>
  <si>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</si>
  <si>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</si>
  <si>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</si>
  <si>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</si>
  <si>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</si>
  <si>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</si>
  <si>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</si>
  <si>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</si>
  <si>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</si>
  <si>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</si>
  <si>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</si>
  <si>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</si>
  <si>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</si>
  <si>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</si>
  <si>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</si>
  <si>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</si>
  <si>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</si>
  <si>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</si>
  <si>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</si>
  <si>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</si>
  <si>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</si>
  <si>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</si>
  <si>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</si>
  <si>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</si>
  <si>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</si>
  <si>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</si>
  <si>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</si>
  <si>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</si>
  <si>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</si>
  <si>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</si>
  <si>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</si>
  <si>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</si>
  <si>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</si>
  <si>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</si>
  <si>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</si>
  <si>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</si>
  <si>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</si>
  <si>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</si>
  <si>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</si>
  <si>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</si>
  <si>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</si>
  <si>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</si>
  <si>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</si>
  <si>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</si>
  <si>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</si>
  <si>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</si>
  <si>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</si>
  <si>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</si>
  <si>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</si>
  <si>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</si>
  <si>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</si>
  <si>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</si>
  <si>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</si>
  <si>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</si>
  <si>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</si>
  <si>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</si>
  <si>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</si>
  <si>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</si>
  <si>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</si>
  <si>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</si>
  <si>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</si>
  <si>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</si>
  <si>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</si>
  <si>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</si>
  <si>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</si>
  <si>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</si>
  <si>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</si>
  <si>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</si>
  <si>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</si>
  <si>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</si>
  <si>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</si>
  <si>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</si>
  <si>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</si>
  <si>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</si>
  <si>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</si>
  <si>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</si>
  <si>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</si>
  <si>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</si>
  <si>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</si>
  <si>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</si>
  <si>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</si>
  <si>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</si>
  <si>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</si>
  <si>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</si>
  <si>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</si>
  <si>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</si>
  <si>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</si>
  <si>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</si>
  <si>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</si>
  <si>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</si>
  <si>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</si>
  <si>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</si>
  <si>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</si>
  <si>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</si>
  <si>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</si>
  <si>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</si>
  <si>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</si>
  <si>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</si>
  <si>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</si>
  <si>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</si>
  <si>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</si>
  <si>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</si>
  <si>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</si>
  <si>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</si>
  <si>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</si>
  <si>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</si>
  <si>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</si>
  <si>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</si>
  <si>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</si>
  <si>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</si>
  <si>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</si>
  <si>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</si>
  <si>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</si>
  <si>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</si>
  <si>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</si>
  <si>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</si>
  <si>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</si>
  <si>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</si>
  <si>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</si>
  <si>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</si>
  <si>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</si>
  <si>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</si>
  <si>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</si>
  <si>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</si>
  <si>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</si>
  <si>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</si>
  <si>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</si>
  <si>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</si>
  <si>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</si>
  <si>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</si>
  <si>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</si>
  <si>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</si>
  <si>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</si>
  <si>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</si>
  <si>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</si>
  <si>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</si>
  <si>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</si>
  <si>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</si>
  <si>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</si>
  <si>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</si>
  <si>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</si>
  <si>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</si>
  <si>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</si>
  <si>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</si>
  <si>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</si>
  <si>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</si>
  <si>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</si>
  <si>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</si>
  <si>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</si>
  <si>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</si>
  <si>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</si>
  <si>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</si>
  <si>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</si>
  <si>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</si>
  <si>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</si>
  <si>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</si>
  <si>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</si>
  <si>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</si>
  <si>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</si>
  <si>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</si>
  <si>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</si>
  <si>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</si>
  <si>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</si>
  <si>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</si>
  <si>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</si>
  <si>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</si>
  <si>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</si>
  <si>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</si>
  <si>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</si>
  <si>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</si>
  <si>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</si>
  <si>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</si>
  <si>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</si>
  <si>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</si>
  <si>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</si>
  <si>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</si>
  <si>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</si>
  <si>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</si>
  <si>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</si>
  <si>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</si>
  <si>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</si>
  <si>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</si>
  <si>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</si>
  <si>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</si>
  <si>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</si>
  <si>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</si>
  <si>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</si>
  <si>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</si>
  <si>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</si>
  <si>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</si>
  <si>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</si>
  <si>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</si>
  <si>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</si>
  <si>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</si>
  <si>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</si>
  <si>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</si>
  <si>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</si>
  <si>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</si>
  <si>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</si>
  <si>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</si>
  <si>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</si>
  <si>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</si>
  <si>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</si>
  <si>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</si>
  <si>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</si>
  <si>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</si>
  <si>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</si>
  <si>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</si>
  <si>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</si>
  <si>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</si>
  <si>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</si>
  <si>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</si>
  <si>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</si>
  <si>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</si>
  <si>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</si>
  <si>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</si>
  <si>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</si>
  <si>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</si>
  <si>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</si>
  <si>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</si>
  <si>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</si>
  <si>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</si>
  <si>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</si>
  <si>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</si>
  <si>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</si>
  <si>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</si>
  <si>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</si>
  <si>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</si>
  <si>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</si>
  <si>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</si>
  <si>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</si>
  <si>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</si>
  <si>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</si>
  <si>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</si>
  <si>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</si>
  <si>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</si>
  <si>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</si>
  <si>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</si>
  <si>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</si>
  <si>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</si>
  <si>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</si>
  <si>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</si>
  <si>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</si>
  <si>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</si>
  <si>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</si>
  <si>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</si>
  <si>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</si>
  <si>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</si>
  <si>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</si>
  <si>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</si>
  <si>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</si>
  <si>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</si>
  <si>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</si>
  <si>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</si>
  <si>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</si>
  <si>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</si>
  <si>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</si>
  <si>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</si>
  <si>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</si>
  <si>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</si>
  <si>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</si>
  <si>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</si>
  <si>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</si>
  <si>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</si>
  <si>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</si>
  <si>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</si>
  <si>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</si>
  <si>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</si>
  <si>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</si>
  <si>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</si>
  <si>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</si>
  <si>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</si>
  <si>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</si>
  <si>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</si>
  <si>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</si>
  <si>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</si>
  <si>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</si>
  <si>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</si>
  <si>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</si>
  <si>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</si>
  <si>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</si>
  <si>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</si>
  <si>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</si>
  <si>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</si>
  <si>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</si>
  <si>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</si>
  <si>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</si>
  <si>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</si>
  <si>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</si>
  <si>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</si>
  <si>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</si>
  <si>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</si>
  <si>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</si>
  <si>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</si>
  <si>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</si>
  <si>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</si>
  <si>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</si>
  <si>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</si>
  <si>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</si>
  <si>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</si>
  <si>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</si>
  <si>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</si>
  <si>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</si>
  <si>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</si>
  <si>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</si>
  <si>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</si>
  <si>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</si>
  <si>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</si>
  <si>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</si>
  <si>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</si>
  <si>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</si>
  <si>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</si>
  <si>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</si>
  <si>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</si>
  <si>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</si>
  <si>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</si>
  <si>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</si>
  <si>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</si>
  <si>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</si>
  <si>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</si>
  <si>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</si>
  <si>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</si>
  <si>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</si>
  <si>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</si>
  <si>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</si>
  <si>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</si>
  <si>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</si>
  <si>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</si>
  <si>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</si>
  <si>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</si>
  <si>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</si>
  <si>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</si>
  <si>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</si>
  <si>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</si>
  <si>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</si>
  <si>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</si>
  <si>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</si>
  <si>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</si>
  <si>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</si>
  <si>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</si>
  <si>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</si>
  <si>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</si>
  <si>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</si>
  <si>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</si>
  <si>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</si>
  <si>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</si>
  <si>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</si>
  <si>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</si>
  <si>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</si>
  <si>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</si>
  <si>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</si>
  <si>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</si>
  <si>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</si>
  <si>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</si>
  <si>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</si>
  <si>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</si>
  <si>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</si>
  <si>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</si>
  <si>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</si>
  <si>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</si>
  <si>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</si>
  <si>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</si>
  <si>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</si>
  <si>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</si>
  <si>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</si>
  <si>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</si>
  <si>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</si>
  <si>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</si>
  <si>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</si>
  <si>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</si>
  <si>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</si>
  <si>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</si>
  <si>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</si>
  <si>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</si>
  <si>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</si>
  <si>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</si>
  <si>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</si>
  <si>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</si>
  <si>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</si>
  <si>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</si>
  <si>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</si>
  <si>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</si>
  <si>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</si>
  <si>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</si>
  <si>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</si>
  <si>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</si>
  <si>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</si>
  <si>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</si>
  <si>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</si>
  <si>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</si>
  <si>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</si>
  <si>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</si>
  <si>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</si>
  <si>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</si>
  <si>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</si>
  <si>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</si>
  <si>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</si>
  <si>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</si>
  <si>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</si>
  <si>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</si>
  <si>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</si>
  <si>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</si>
  <si>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</si>
  <si>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</si>
  <si>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</si>
  <si>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</si>
  <si>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</si>
  <si>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</si>
  <si>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</si>
  <si>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</si>
  <si>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</si>
  <si>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</si>
  <si>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</si>
  <si>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</si>
  <si>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</si>
  <si>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</si>
  <si>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</si>
  <si>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</si>
  <si>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</si>
  <si>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</si>
  <si>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</si>
  <si>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</si>
  <si>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</si>
  <si>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</si>
  <si>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</si>
  <si>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</si>
  <si>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</si>
  <si>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</si>
  <si>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</si>
  <si>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</si>
  <si>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</si>
  <si>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</si>
  <si>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</si>
  <si>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</si>
  <si>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</si>
  <si>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</si>
  <si>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</si>
  <si>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</si>
  <si>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</si>
  <si>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</si>
  <si>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</si>
  <si>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</si>
  <si>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</si>
  <si>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</si>
  <si>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</si>
  <si>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</si>
  <si>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</si>
  <si>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</si>
  <si>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</si>
  <si>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</si>
  <si>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</si>
  <si>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</si>
  <si>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</si>
  <si>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</si>
  <si>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</si>
  <si>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</si>
  <si>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</si>
  <si>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</si>
  <si>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</si>
  <si>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</si>
  <si>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</si>
  <si>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</si>
  <si>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</si>
  <si>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</si>
  <si>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</si>
  <si>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</si>
  <si>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</si>
  <si>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</si>
  <si>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</si>
  <si>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</si>
  <si>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</si>
  <si>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</si>
  <si>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</si>
  <si>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</si>
  <si>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</si>
  <si>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</si>
  <si>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</si>
  <si>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</si>
  <si>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</si>
  <si>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</si>
  <si>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</si>
  <si>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</si>
  <si>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</si>
  <si>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</si>
  <si>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</si>
  <si>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</si>
  <si>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</si>
  <si>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</si>
  <si>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</si>
  <si>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</si>
  <si>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</si>
  <si>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</si>
  <si>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</si>
  <si>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</si>
  <si>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</si>
  <si>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</si>
  <si>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</si>
  <si>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</si>
  <si>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</si>
  <si>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</si>
  <si>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</si>
  <si>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</si>
  <si>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</si>
  <si>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</si>
  <si>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</si>
  <si>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</si>
  <si>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</si>
  <si>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</si>
  <si>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</si>
  <si>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</si>
  <si>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</si>
  <si>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</si>
  <si>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</si>
  <si>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</si>
  <si>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</si>
  <si>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</si>
  <si>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</si>
  <si>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</si>
  <si>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</si>
  <si>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</si>
  <si>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</si>
  <si>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</si>
  <si>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</si>
  <si>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</si>
  <si>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</si>
  <si>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</si>
  <si>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</si>
  <si>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</si>
  <si>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</si>
  <si>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</si>
  <si>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</si>
  <si>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</si>
  <si>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</si>
  <si>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</si>
  <si>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</si>
  <si>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</si>
  <si>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</si>
  <si>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</si>
  <si>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</si>
  <si>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</si>
  <si>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</si>
  <si>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</si>
  <si>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</si>
  <si>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</si>
  <si>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</si>
  <si>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</si>
  <si>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</si>
  <si>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</si>
  <si>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</si>
  <si>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</si>
  <si>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</si>
  <si>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</si>
  <si>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</si>
  <si>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</si>
  <si>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</si>
  <si>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</si>
  <si>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</si>
  <si>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</si>
  <si>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</si>
  <si>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</si>
  <si>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</si>
  <si>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</si>
  <si>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</si>
  <si>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</si>
  <si>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</si>
  <si>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</si>
  <si>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</si>
  <si>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</si>
  <si>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</si>
  <si>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</si>
  <si>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</si>
  <si>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</si>
  <si>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</si>
  <si>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</si>
  <si>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</si>
  <si>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</si>
  <si>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</si>
  <si>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</si>
  <si>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</si>
  <si>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</si>
  <si>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</si>
  <si>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</si>
  <si>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</si>
  <si>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</si>
  <si>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</si>
  <si>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</si>
  <si>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</si>
  <si>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</si>
  <si>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</si>
  <si>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</si>
  <si>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</si>
  <si>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</si>
  <si>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</si>
  <si>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</si>
  <si>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</si>
  <si>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</si>
  <si>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</si>
  <si>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</si>
  <si>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</si>
  <si>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</si>
  <si>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</si>
  <si>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</si>
  <si>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</si>
  <si>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</si>
  <si>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</si>
  <si>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</si>
  <si>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</si>
  <si>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</si>
  <si>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</si>
  <si>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</si>
  <si>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</si>
  <si>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</si>
  <si>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</si>
  <si>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</si>
  <si>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</si>
  <si>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</si>
  <si>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</si>
  <si>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</si>
  <si>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</si>
  <si>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</si>
  <si>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</si>
  <si>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</si>
  <si>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</si>
  <si>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</si>
  <si>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</si>
  <si>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</si>
  <si>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</si>
  <si>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</si>
  <si>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</si>
  <si>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</si>
  <si>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</si>
  <si>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</si>
  <si>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</si>
  <si>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</si>
  <si>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</si>
  <si>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</si>
  <si>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</si>
  <si>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</si>
  <si>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</si>
  <si>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</si>
  <si>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</si>
  <si>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</si>
  <si>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</si>
  <si>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</si>
  <si>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</si>
  <si>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</si>
  <si>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</si>
  <si>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</si>
  <si>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</si>
  <si>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</si>
  <si>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</si>
  <si>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</si>
  <si>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</si>
  <si>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</si>
  <si>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</si>
  <si>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</si>
  <si>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</si>
  <si>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</si>
  <si>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</si>
  <si>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</si>
  <si>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</si>
  <si>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</si>
  <si>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</si>
  <si>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</si>
  <si>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</si>
  <si>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</si>
  <si>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</si>
  <si>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</si>
  <si>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</si>
  <si>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</si>
  <si>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</si>
  <si>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</si>
  <si>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</si>
  <si>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</si>
  <si>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</si>
  <si>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</si>
  <si>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</si>
  <si>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</si>
  <si>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</si>
  <si>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</si>
  <si>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</si>
  <si>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</si>
  <si>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</si>
  <si>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</si>
  <si>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</si>
  <si>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</si>
  <si>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</si>
  <si>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</si>
  <si>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</si>
  <si>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</si>
  <si>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</si>
  <si>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</si>
  <si>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</si>
  <si>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</si>
  <si>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</si>
  <si>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</si>
  <si>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</si>
  <si>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</si>
  <si>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</si>
  <si>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</si>
  <si>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</si>
  <si>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</si>
  <si>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</si>
  <si>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</si>
  <si>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</si>
  <si>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</si>
  <si>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</si>
  <si>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</si>
  <si>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</si>
  <si>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</si>
  <si>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</si>
  <si>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</si>
  <si>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</si>
  <si>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</si>
  <si>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</si>
  <si>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</si>
  <si>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</si>
  <si>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</si>
  <si>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</si>
  <si>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</si>
  <si>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</si>
  <si>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</si>
  <si>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</si>
  <si>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</si>
  <si>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</si>
  <si>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</si>
  <si>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</si>
  <si>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</si>
  <si>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</si>
  <si>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</si>
  <si>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</si>
  <si>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</si>
  <si>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</si>
  <si>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</si>
  <si>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</si>
  <si>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</si>
  <si>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</si>
  <si>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</si>
  <si>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</si>
  <si>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</si>
  <si>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</si>
  <si>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</si>
  <si>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</si>
  <si>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</si>
  <si>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</si>
  <si>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</si>
  <si>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</si>
  <si>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</si>
  <si>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</si>
  <si>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</si>
  <si>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</si>
  <si>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</si>
  <si>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</si>
  <si>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</si>
  <si>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</si>
  <si>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</si>
  <si>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</si>
  <si>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</si>
  <si>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</si>
  <si>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</si>
  <si>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</si>
  <si>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</si>
  <si>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</si>
  <si>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</si>
  <si>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</si>
  <si>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</si>
  <si>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</si>
  <si>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</si>
  <si>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</si>
  <si>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</si>
  <si>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</si>
  <si>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</si>
  <si>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</si>
  <si>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</si>
  <si>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</si>
  <si>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</si>
  <si>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</si>
  <si>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</si>
  <si>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</si>
  <si>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</si>
  <si>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</si>
  <si>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</si>
  <si>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</si>
  <si>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</si>
  <si>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</si>
  <si>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</si>
  <si>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</si>
  <si>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</si>
  <si>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</si>
  <si>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</si>
  <si>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</si>
  <si>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</si>
  <si>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</si>
  <si>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</si>
  <si>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</si>
  <si>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</si>
  <si>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</si>
  <si>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</si>
  <si>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</si>
  <si>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</si>
  <si>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</si>
  <si>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</si>
  <si>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</si>
  <si>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</si>
  <si>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</si>
  <si>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</si>
  <si>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</si>
  <si>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</si>
  <si>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</si>
  <si>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</si>
  <si>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</si>
  <si>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</si>
  <si>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</si>
  <si>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</si>
  <si>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</si>
  <si>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</si>
  <si>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</si>
  <si>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</si>
  <si>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</si>
  <si>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</si>
  <si>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</si>
  <si>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</si>
  <si>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</si>
  <si>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</si>
  <si>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</si>
  <si>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</si>
  <si>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</si>
  <si>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</si>
  <si>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</si>
  <si>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</si>
  <si>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</si>
  <si>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</si>
  <si>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</si>
  <si>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</si>
  <si>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</si>
  <si>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</si>
  <si>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</si>
  <si>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</si>
  <si>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</si>
  <si>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</si>
  <si>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</si>
  <si>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</si>
  <si>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</si>
  <si>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</si>
  <si>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</si>
  <si>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</si>
  <si>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</si>
  <si>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</si>
  <si>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</si>
  <si>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</si>
  <si>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</si>
  <si>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</si>
  <si>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</si>
  <si>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</si>
  <si>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</si>
  <si>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</si>
  <si>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</si>
  <si>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</si>
  <si>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</si>
  <si>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</si>
  <si>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</si>
  <si>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</si>
  <si>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</si>
  <si>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</si>
  <si>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</si>
  <si>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</si>
  <si>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</si>
  <si>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</si>
  <si>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</si>
  <si>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</si>
  <si>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</si>
  <si>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</si>
  <si>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</si>
  <si>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</si>
  <si>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</si>
  <si>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</si>
  <si>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</si>
  <si>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</si>
  <si>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</si>
  <si>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</si>
  <si>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</si>
  <si>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</si>
  <si>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</si>
  <si>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</si>
  <si>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</si>
  <si>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</si>
  <si>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</si>
  <si>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</si>
  <si>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</si>
  <si>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</si>
  <si>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</si>
  <si>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</si>
  <si>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</si>
  <si>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</si>
  <si>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</si>
  <si>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</si>
  <si>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</si>
  <si>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</si>
  <si>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</si>
  <si>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</si>
  <si>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</si>
  <si>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</si>
  <si>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</si>
  <si>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</si>
  <si>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</si>
  <si>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</si>
  <si>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</si>
  <si>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</si>
  <si>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</si>
  <si>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</si>
  <si>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</si>
  <si>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</si>
  <si>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</si>
  <si>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</si>
  <si>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</si>
  <si>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</si>
  <si>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</si>
  <si>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</si>
  <si>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</si>
  <si>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</si>
  <si>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</si>
  <si>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</si>
  <si>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</si>
  <si>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</si>
  <si>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</si>
  <si>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</si>
  <si>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</si>
  <si>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</si>
  <si>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</si>
  <si>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</si>
  <si>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</si>
  <si>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</si>
  <si>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</si>
  <si>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</si>
  <si>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</si>
  <si>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</si>
  <si>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</si>
  <si>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</si>
  <si>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</si>
  <si>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</si>
  <si>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</si>
  <si>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</si>
  <si>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</si>
  <si>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</si>
  <si>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</si>
  <si>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</si>
  <si>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</si>
  <si>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</si>
  <si>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</si>
  <si>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</si>
  <si>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</si>
  <si>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</si>
  <si>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</si>
  <si>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</si>
  <si>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</si>
  <si>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</si>
  <si>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</si>
  <si>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</si>
  <si>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</si>
  <si>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</si>
  <si>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</si>
  <si>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</si>
  <si>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</si>
  <si>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</si>
  <si>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</si>
  <si>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</si>
  <si>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</si>
  <si>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</si>
  <si>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</si>
  <si>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</si>
  <si>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</si>
  <si>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</si>
  <si>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</si>
  <si>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</si>
  <si>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</si>
  <si>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</si>
  <si>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</si>
  <si>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</si>
  <si>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</si>
  <si>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</si>
  <si>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</si>
  <si>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</si>
  <si>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</si>
  <si>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</si>
  <si>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</si>
  <si>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</si>
  <si>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</si>
  <si>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</si>
  <si>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</si>
  <si>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</si>
  <si>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</si>
  <si>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</si>
  <si>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</si>
  <si>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</si>
  <si>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</si>
  <si>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</si>
  <si>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</si>
  <si>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</si>
  <si>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</si>
  <si>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</si>
  <si>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</si>
  <si>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</si>
  <si>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</si>
  <si>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</si>
  <si>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</si>
  <si>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</si>
  <si>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</si>
  <si>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</si>
  <si>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</si>
  <si>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</si>
  <si>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</si>
  <si>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</si>
  <si>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</si>
  <si>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</si>
  <si>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</si>
  <si>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</si>
  <si>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</si>
  <si>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</si>
  <si>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</si>
  <si>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</si>
  <si>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</si>
  <si>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</si>
  <si>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</si>
  <si>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</si>
  <si>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</si>
  <si>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</si>
  <si>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</si>
  <si>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</si>
  <si>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</si>
  <si>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</si>
  <si>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</si>
  <si>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</si>
  <si>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</si>
  <si>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</si>
  <si>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</si>
  <si>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</si>
  <si>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</si>
  <si>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</si>
  <si>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</si>
  <si>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</si>
  <si>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</si>
  <si>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</si>
  <si>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</si>
  <si>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</si>
  <si>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</si>
  <si>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</si>
  <si>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</si>
  <si>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</si>
  <si>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</si>
  <si>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</si>
  <si>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</si>
  <si>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</si>
  <si>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</si>
  <si>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</si>
  <si>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</si>
  <si>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</si>
  <si>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</si>
  <si>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</si>
  <si>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</si>
  <si>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</si>
  <si>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</si>
  <si>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</si>
  <si>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</si>
  <si>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</si>
  <si>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</si>
  <si>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</si>
  <si>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</si>
  <si>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</si>
  <si>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</si>
  <si>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</si>
  <si>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</si>
  <si>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</si>
  <si>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</si>
  <si>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</si>
  <si>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</si>
  <si>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</si>
  <si>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</si>
  <si>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</si>
  <si>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</si>
  <si>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</si>
  <si>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</si>
  <si>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</si>
  <si>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</si>
  <si>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</si>
  <si>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</si>
  <si>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</si>
  <si>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</si>
  <si>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</si>
  <si>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</si>
  <si>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</si>
  <si>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</si>
  <si>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</si>
  <si>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</si>
  <si>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</si>
  <si>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</si>
  <si>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</si>
  <si>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</si>
  <si>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</si>
  <si>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</si>
  <si>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</si>
  <si>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</si>
  <si>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</si>
  <si>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</si>
  <si>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</si>
  <si>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</si>
  <si>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</si>
  <si>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</si>
  <si>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</si>
  <si>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</si>
  <si>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</si>
  <si>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</si>
  <si>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</si>
  <si>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</si>
  <si>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</si>
  <si>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</si>
  <si>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</si>
  <si>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</si>
  <si>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</si>
  <si>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</si>
  <si>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</si>
  <si>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</si>
  <si>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</si>
  <si>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</si>
  <si>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</si>
  <si>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</si>
  <si>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</si>
  <si>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</si>
  <si>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</si>
  <si>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</si>
  <si>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</si>
  <si>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</si>
  <si>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</si>
  <si>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</si>
  <si>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</si>
  <si>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</si>
  <si>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</si>
  <si>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</si>
  <si>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</si>
  <si>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</si>
  <si>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</si>
  <si>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</si>
  <si>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</si>
  <si>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</si>
  <si>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</si>
  <si>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</si>
  <si>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</si>
  <si>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</si>
  <si>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</si>
  <si>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</si>
  <si>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</si>
  <si>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</si>
  <si>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</si>
  <si>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</si>
  <si>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</si>
  <si>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</si>
  <si>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</si>
  <si>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</si>
  <si>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</si>
  <si>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</si>
  <si>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</si>
  <si>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</si>
  <si>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</si>
  <si>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</si>
  <si>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</si>
  <si>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</si>
  <si>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</si>
  <si>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</si>
  <si>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</si>
  <si>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</si>
  <si>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</si>
  <si>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</si>
  <si>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</si>
  <si>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</si>
  <si>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</si>
  <si>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</si>
  <si>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</si>
  <si>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</si>
  <si>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</si>
  <si>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</si>
  <si>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</si>
  <si>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</si>
  <si>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</si>
  <si>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</si>
  <si>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</si>
  <si>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</si>
  <si>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</si>
  <si>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</si>
  <si>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</si>
  <si>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</si>
  <si>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</si>
  <si>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</si>
  <si>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</si>
  <si>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</si>
  <si>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</si>
  <si>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</si>
  <si>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</si>
  <si>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</si>
  <si>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</si>
  <si>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</si>
  <si>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</si>
  <si>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</si>
  <si>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</si>
  <si>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</si>
  <si>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</si>
  <si>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</si>
  <si>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</si>
  <si>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</si>
  <si>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</si>
  <si>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</si>
  <si>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</si>
  <si>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</si>
  <si>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</si>
  <si>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</si>
  <si>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</si>
  <si>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</si>
  <si>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</si>
  <si>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</si>
  <si>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</si>
  <si>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</si>
  <si>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</si>
  <si>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</si>
  <si>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</si>
  <si>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</si>
  <si>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</si>
  <si>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</si>
  <si>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</si>
  <si>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</si>
  <si>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</si>
  <si>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</si>
  <si>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</si>
  <si>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</si>
  <si>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</si>
  <si>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</si>
  <si>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</si>
  <si>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</si>
  <si>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</si>
  <si>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</si>
  <si>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</si>
  <si>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</si>
  <si>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</si>
  <si>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</si>
  <si>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</si>
  <si>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</si>
  <si>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</si>
  <si>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</si>
  <si>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</si>
  <si>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</si>
  <si>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</si>
  <si>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</si>
  <si>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</si>
  <si>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</si>
  <si>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</si>
  <si>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</si>
  <si>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</si>
  <si>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</si>
  <si>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</si>
  <si>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</si>
  <si>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</si>
  <si>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</si>
  <si>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</si>
  <si>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</si>
  <si>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</si>
  <si>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</si>
  <si>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</si>
  <si>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</si>
  <si>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</si>
  <si>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</si>
  <si>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</si>
  <si>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</si>
  <si>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</si>
  <si>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</si>
  <si>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</si>
  <si>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</si>
  <si>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</si>
  <si>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</si>
  <si>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</si>
  <si>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</si>
  <si>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</si>
  <si>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</si>
  <si>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</si>
  <si>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</si>
  <si>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</si>
  <si>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</si>
  <si>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</si>
  <si>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</si>
  <si>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</si>
  <si>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</si>
  <si>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</si>
  <si>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</si>
  <si>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</si>
  <si>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</si>
  <si>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</si>
  <si>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</si>
  <si>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</si>
  <si>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</si>
  <si>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</si>
  <si>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</si>
  <si>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</si>
  <si>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</si>
  <si>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</si>
  <si>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</si>
  <si>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</si>
  <si>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</si>
  <si>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</si>
  <si>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</si>
  <si>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</si>
  <si>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</si>
  <si>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</si>
  <si>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</si>
  <si>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</si>
  <si>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</si>
  <si>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</si>
  <si>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</si>
  <si>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</si>
  <si>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</si>
  <si>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</si>
  <si>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</si>
  <si>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</si>
  <si>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</si>
  <si>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</si>
  <si>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</si>
  <si>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</si>
  <si>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</si>
  <si>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</si>
  <si>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</si>
  <si>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</si>
  <si>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</si>
  <si>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</si>
  <si>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</si>
  <si>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</si>
  <si>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</si>
  <si>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</si>
  <si>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</si>
  <si>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</si>
  <si>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</si>
  <si>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</si>
  <si>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</si>
  <si>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</si>
  <si>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</si>
  <si>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</si>
  <si>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</si>
  <si>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</si>
  <si>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</si>
  <si>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</si>
  <si>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</si>
  <si>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</si>
  <si>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</si>
  <si>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</si>
  <si>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</si>
  <si>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</si>
  <si>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</si>
  <si>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</si>
  <si>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</si>
  <si>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</si>
  <si>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</si>
  <si>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</si>
  <si>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</si>
  <si>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</si>
  <si>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</si>
  <si>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</si>
  <si>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</si>
  <si>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</si>
  <si>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</si>
  <si>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</si>
  <si>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</si>
  <si>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</si>
  <si>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</si>
  <si>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</si>
  <si>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</si>
  <si>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</si>
  <si>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</si>
  <si>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</si>
  <si>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</si>
  <si>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</si>
  <si>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</si>
  <si>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</si>
  <si>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</si>
  <si>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</si>
  <si>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</si>
  <si>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</si>
  <si>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</si>
  <si>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</si>
  <si>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</si>
  <si>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</si>
  <si>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</si>
  <si>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</si>
  <si>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</si>
  <si>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</si>
  <si>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</si>
  <si>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</si>
  <si>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</si>
  <si>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</si>
  <si>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</si>
  <si>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</si>
  <si>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</si>
  <si>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</si>
  <si>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</si>
  <si>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</si>
  <si>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</si>
  <si>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</si>
  <si>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</si>
  <si>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</si>
  <si>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</si>
  <si>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</si>
  <si>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</si>
  <si>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</si>
  <si>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</si>
  <si>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</si>
  <si>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</si>
  <si>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</si>
  <si>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</si>
  <si>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</si>
  <si>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</si>
  <si>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</si>
  <si>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</si>
  <si>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</si>
  <si>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</si>
  <si>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</si>
  <si>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</si>
  <si>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</si>
  <si>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</si>
  <si>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</si>
  <si>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</si>
  <si>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</si>
  <si>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</si>
  <si>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</si>
  <si>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</si>
  <si>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</si>
  <si>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</si>
  <si>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</si>
  <si>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</si>
  <si>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</si>
  <si>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</si>
  <si>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</si>
  <si>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</si>
  <si>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</si>
  <si>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</si>
  <si>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</si>
  <si>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</si>
  <si>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</si>
  <si>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</si>
  <si>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</si>
  <si>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</si>
  <si>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</si>
  <si>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</si>
  <si>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</si>
  <si>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</si>
  <si>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</si>
  <si>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</si>
  <si>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</si>
  <si>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</si>
  <si>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</si>
  <si>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</si>
  <si>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</si>
  <si>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</si>
  <si>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</si>
  <si>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</si>
  <si>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</si>
  <si>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</si>
  <si>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</si>
  <si>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</si>
  <si>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</si>
  <si>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</si>
  <si>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</si>
  <si>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</si>
  <si>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</si>
  <si>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</si>
  <si>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</si>
  <si>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</si>
  <si>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</si>
  <si>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</si>
  <si>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</si>
  <si>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</si>
  <si>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</si>
  <si>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</si>
  <si>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</si>
  <si>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</si>
  <si>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</si>
  <si>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</si>
  <si>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</si>
  <si>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</si>
  <si>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</si>
  <si>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</si>
  <si>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</si>
  <si>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</si>
  <si>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</si>
  <si>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</si>
  <si>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</si>
  <si>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</si>
  <si>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</si>
  <si>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</si>
  <si>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</si>
  <si>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</si>
  <si>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</si>
  <si>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</si>
  <si>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</si>
  <si>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</si>
  <si>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</si>
  <si>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</si>
  <si>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</si>
  <si>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</si>
  <si>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</si>
  <si>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</si>
  <si>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</si>
  <si>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</si>
  <si>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</si>
  <si>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</si>
  <si>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</si>
  <si>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</si>
  <si>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</si>
  <si>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</si>
  <si>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</si>
  <si>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</si>
  <si>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</si>
  <si>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</si>
  <si>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</si>
  <si>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</si>
  <si>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</si>
  <si>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</si>
  <si>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</si>
  <si>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</si>
  <si>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</si>
  <si>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</si>
  <si>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</si>
  <si>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</si>
  <si>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</si>
  <si>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</si>
  <si>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</si>
  <si>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</si>
  <si>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</si>
  <si>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</si>
  <si>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</si>
  <si>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</si>
  <si>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</si>
  <si>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</si>
  <si>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</si>
  <si>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</si>
  <si>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</si>
  <si>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</si>
  <si>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</si>
  <si>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</si>
  <si>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</si>
  <si>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</si>
  <si>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</si>
  <si>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</si>
  <si>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</si>
  <si>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</si>
  <si>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</si>
  <si>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</si>
  <si>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</si>
  <si>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</si>
  <si>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</si>
  <si>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</si>
  <si>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</si>
  <si>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</si>
  <si>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</si>
  <si>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</si>
  <si>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</si>
  <si>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</si>
  <si>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</si>
  <si>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</si>
  <si>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</si>
  <si>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</si>
  <si>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</si>
  <si>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</si>
  <si>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</si>
  <si>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</si>
  <si>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</si>
  <si>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</si>
  <si>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</si>
  <si>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</si>
  <si>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</si>
  <si>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</si>
  <si>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</si>
  <si>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</si>
  <si>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</si>
  <si>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</si>
  <si>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</si>
  <si>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</si>
  <si>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</si>
  <si>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</si>
  <si>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</si>
  <si>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</si>
  <si>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</si>
  <si>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</si>
  <si>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</si>
  <si>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</si>
  <si>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</si>
  <si>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</si>
  <si>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</si>
  <si>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</si>
  <si>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</si>
  <si>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</si>
  <si>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</si>
  <si>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</si>
  <si>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</si>
  <si>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</si>
  <si>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</si>
  <si>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</si>
  <si>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</si>
  <si>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</si>
  <si>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</si>
  <si>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</si>
  <si>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</si>
  <si>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</si>
  <si>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</si>
  <si>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</si>
  <si>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</si>
  <si>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</si>
  <si>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</si>
  <si>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</si>
  <si>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</si>
  <si>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</si>
  <si>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</si>
  <si>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</si>
  <si>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</si>
  <si>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</si>
  <si>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</si>
  <si>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</si>
  <si>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</si>
  <si>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</si>
  <si>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</si>
  <si>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</si>
  <si>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</si>
  <si>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</si>
  <si>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</si>
  <si>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</si>
  <si>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</si>
  <si>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</si>
  <si>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</si>
  <si>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</si>
  <si>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</si>
  <si>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</si>
  <si>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</si>
  <si>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</si>
  <si>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</si>
  <si>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</si>
  <si>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</si>
  <si>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</si>
  <si>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</si>
  <si>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</si>
  <si>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</si>
  <si>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</si>
  <si>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</si>
  <si>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</si>
  <si>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</si>
  <si>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</si>
  <si>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</si>
  <si>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</si>
  <si>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</si>
  <si>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</si>
  <si>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</si>
  <si>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</si>
  <si>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</si>
  <si>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</si>
  <si>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</si>
  <si>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</si>
  <si>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</si>
  <si>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</si>
  <si>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</si>
  <si>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</si>
  <si>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</si>
  <si>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</si>
  <si>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</si>
  <si>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</si>
  <si>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</si>
  <si>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</si>
  <si>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</si>
  <si>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</si>
  <si>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</si>
  <si>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</si>
  <si>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</si>
  <si>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</si>
  <si>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</si>
  <si>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</si>
  <si>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</si>
  <si>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</si>
  <si>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</si>
  <si>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</si>
  <si>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</si>
  <si>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</si>
  <si>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</si>
  <si>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</si>
  <si>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</si>
  <si>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</si>
  <si>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</si>
  <si>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</si>
  <si>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</si>
  <si>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</si>
  <si>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</si>
  <si>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</si>
  <si>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</si>
  <si>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</si>
  <si>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</si>
  <si>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</si>
  <si>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</si>
  <si>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</si>
  <si>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</si>
  <si>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</si>
  <si>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</si>
  <si>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</si>
  <si>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</si>
  <si>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</si>
  <si>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</si>
  <si>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</si>
  <si>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</si>
  <si>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</si>
  <si>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</si>
  <si>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</si>
  <si>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</si>
  <si>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</si>
  <si>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</si>
  <si>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</si>
  <si>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</si>
  <si>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</si>
  <si>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</si>
  <si>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</si>
  <si>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</si>
  <si>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</si>
  <si>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</si>
  <si>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</si>
  <si>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</si>
  <si>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</si>
  <si>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</si>
  <si>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</si>
  <si>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</si>
  <si>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</si>
  <si>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</si>
  <si>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</si>
  <si>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</si>
  <si>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</si>
  <si>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</si>
  <si>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</si>
  <si>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</si>
  <si>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</si>
  <si>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</si>
  <si>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</si>
  <si>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</si>
  <si>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</si>
  <si>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</si>
  <si>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</si>
  <si>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</si>
  <si>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</si>
  <si>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</si>
  <si>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</si>
  <si>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</si>
  <si>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</si>
  <si>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</si>
  <si>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</si>
  <si>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</si>
  <si>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</si>
  <si>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</si>
  <si>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</si>
  <si>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</si>
  <si>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</si>
  <si>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</si>
  <si>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</si>
  <si>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</si>
  <si>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</si>
  <si>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</si>
  <si>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</si>
  <si>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</si>
  <si>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</si>
  <si>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</si>
  <si>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</si>
  <si>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</si>
  <si>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</si>
  <si>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</si>
  <si>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</si>
  <si>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</si>
  <si>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</si>
  <si>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</si>
  <si>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</si>
  <si>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</si>
  <si>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</si>
  <si>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</si>
  <si>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</si>
  <si>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</si>
  <si>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</si>
  <si>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</si>
  <si>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</si>
  <si>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</si>
  <si>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</si>
  <si>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</si>
  <si>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</si>
  <si>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</si>
  <si>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</si>
  <si>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</si>
  <si>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</si>
  <si>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</si>
  <si>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</si>
  <si>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</si>
  <si>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</si>
  <si>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</si>
  <si>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</si>
  <si>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</si>
  <si>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</si>
  <si>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</si>
  <si>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</si>
  <si>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</si>
  <si>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</si>
  <si>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</si>
  <si>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</si>
  <si>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</si>
  <si>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</si>
  <si>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</si>
  <si>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</si>
  <si>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</si>
  <si>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</si>
  <si>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</si>
  <si>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</si>
  <si>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</si>
  <si>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</si>
  <si>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</si>
  <si>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</si>
  <si>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</si>
  <si>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</si>
  <si>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</si>
  <si>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</si>
  <si>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</si>
  <si>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</si>
  <si>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</si>
  <si>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</si>
  <si>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</si>
  <si>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</si>
  <si>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</si>
  <si>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</si>
  <si>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</si>
  <si>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</si>
  <si>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</si>
  <si>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30994766</t>
  </si>
  <si>
    <t>АО "ОТСК"</t>
  </si>
  <si>
    <t>6658447960</t>
  </si>
  <si>
    <t>665801001</t>
  </si>
  <si>
    <t>26850678</t>
  </si>
  <si>
    <t>АО "Пневмостроймашина", г.Екатеринбург</t>
  </si>
  <si>
    <t>6608000453</t>
  </si>
  <si>
    <t>26838066</t>
  </si>
  <si>
    <t>АО "РЭУ"</t>
  </si>
  <si>
    <t>7714783092</t>
  </si>
  <si>
    <t>26479174</t>
  </si>
  <si>
    <t>АО "Среднеуральский медеплавильный завод", г.Ревда</t>
  </si>
  <si>
    <t>6627001318</t>
  </si>
  <si>
    <t>668401001</t>
  </si>
  <si>
    <t>31-12-2017 00:00:00</t>
  </si>
  <si>
    <t>26575381</t>
  </si>
  <si>
    <t>АО "Стройматериалы", г.Екатеринбург</t>
  </si>
  <si>
    <t>6660000978</t>
  </si>
  <si>
    <t>30943132</t>
  </si>
  <si>
    <t>АО «ОЭЗ «Титановая долина», г. Екатеринбург</t>
  </si>
  <si>
    <t>6670376352</t>
  </si>
  <si>
    <t>31006321</t>
  </si>
  <si>
    <t>АО «Сосновское»</t>
  </si>
  <si>
    <t>6658344587</t>
  </si>
  <si>
    <t>26479351</t>
  </si>
  <si>
    <t>Акционерное общество "5 центральный автомобильный ремонтный завод", г. Екатеринбург</t>
  </si>
  <si>
    <t>6659192672</t>
  </si>
  <si>
    <t>665901001</t>
  </si>
  <si>
    <t>09-01-2023 00:00:00</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</si>
  <si>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</si>
  <si>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</si>
  <si>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</si>
  <si>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</si>
  <si>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</si>
  <si>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</si>
  <si>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</si>
  <si>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663901001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</si>
  <si>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</si>
  <si>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</si>
  <si>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</si>
  <si>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</si>
  <si>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</si>
  <si>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</si>
  <si>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</si>
  <si>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</si>
  <si>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</si>
  <si>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</si>
  <si>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</si>
  <si>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</si>
  <si>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</si>
  <si>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</si>
  <si>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</si>
  <si>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</si>
  <si>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</si>
  <si>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</si>
  <si>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</si>
  <si>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</si>
  <si>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661401001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</si>
  <si>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</si>
  <si>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</si>
  <si>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</si>
  <si>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</si>
  <si>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</si>
  <si>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</si>
  <si>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</si>
  <si>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997550001</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</si>
  <si>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</si>
  <si>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</si>
  <si>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</si>
  <si>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</si>
  <si>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</si>
  <si>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</si>
  <si>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</si>
  <si>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</si>
  <si>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</si>
  <si>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</si>
  <si>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</si>
  <si>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</si>
  <si>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</si>
  <si>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</si>
  <si>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</si>
  <si>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</si>
  <si>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</si>
  <si>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</si>
  <si>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667901001</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</si>
  <si>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</si>
  <si>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</si>
  <si>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</si>
  <si>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</si>
  <si>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</si>
  <si>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</si>
  <si>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</si>
  <si>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</si>
  <si>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</si>
  <si>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</si>
  <si>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</si>
  <si>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</si>
  <si>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</si>
  <si>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</si>
  <si>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26818855</t>
  </si>
  <si>
    <t>Акционерное общество "НЛМК-Урал", ОСП в г. Нижние Серги</t>
  </si>
  <si>
    <t>6646009256</t>
  </si>
  <si>
    <t>664645001</t>
  </si>
  <si>
    <t>26479671</t>
  </si>
  <si>
    <t>Акционерное общество "НЛМК-Урал", г.Ревда</t>
  </si>
  <si>
    <t>15-01-2001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</si>
  <si>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</si>
  <si>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</si>
  <si>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</si>
  <si>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</si>
  <si>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</si>
  <si>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</si>
  <si>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</si>
  <si>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</si>
  <si>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</si>
  <si>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</si>
  <si>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</si>
  <si>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</si>
  <si>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</si>
  <si>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</si>
  <si>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</si>
  <si>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</si>
  <si>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</si>
  <si>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</si>
  <si>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</si>
  <si>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</si>
  <si>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</si>
  <si>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</si>
  <si>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</si>
  <si>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</si>
  <si>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</si>
  <si>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</si>
  <si>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</si>
  <si>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</si>
  <si>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</si>
  <si>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</si>
  <si>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</si>
  <si>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</si>
  <si>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</si>
  <si>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</si>
  <si>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</si>
  <si>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</si>
  <si>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</si>
  <si>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</si>
  <si>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</si>
  <si>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</si>
  <si>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</si>
  <si>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</si>
  <si>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</si>
  <si>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</si>
  <si>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</si>
  <si>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</si>
  <si>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</si>
  <si>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</si>
  <si>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</si>
  <si>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</si>
  <si>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</si>
  <si>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</si>
  <si>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</si>
  <si>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</si>
  <si>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</si>
  <si>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</si>
  <si>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</si>
  <si>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</si>
  <si>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</si>
  <si>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</si>
  <si>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</si>
  <si>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</si>
  <si>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</si>
  <si>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</si>
  <si>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</si>
  <si>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</si>
  <si>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</si>
  <si>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</si>
  <si>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</si>
  <si>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</si>
  <si>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</si>
  <si>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</si>
  <si>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</si>
  <si>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</si>
  <si>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</si>
  <si>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</si>
  <si>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</si>
  <si>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</si>
  <si>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</si>
  <si>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</si>
  <si>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</si>
  <si>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</si>
  <si>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</si>
  <si>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</si>
  <si>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</si>
  <si>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</si>
  <si>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</si>
  <si>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</si>
  <si>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</si>
  <si>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</si>
  <si>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</si>
  <si>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</si>
  <si>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</si>
  <si>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</si>
  <si>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</si>
  <si>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</si>
  <si>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</si>
  <si>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</si>
  <si>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</si>
  <si>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</si>
  <si>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</si>
  <si>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</si>
  <si>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</si>
  <si>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</si>
  <si>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</si>
  <si>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</si>
  <si>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</si>
  <si>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</si>
  <si>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</si>
  <si>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</si>
  <si>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</si>
  <si>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</si>
  <si>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</si>
  <si>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</si>
  <si>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</si>
  <si>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</si>
  <si>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</si>
  <si>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</si>
  <si>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</si>
  <si>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</si>
  <si>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</si>
  <si>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</si>
  <si>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</si>
  <si>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</si>
  <si>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</si>
  <si>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</si>
  <si>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</si>
  <si>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</si>
  <si>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</si>
  <si>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</si>
  <si>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</si>
  <si>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</si>
  <si>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30851307</t>
  </si>
  <si>
    <t>Акционерное общество "Русатом Инфраструктурные решения", Филиал в г. Новоуральск</t>
  </si>
  <si>
    <t>7706757331</t>
  </si>
  <si>
    <t>775050001</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</si>
  <si>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</si>
  <si>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</si>
  <si>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</si>
  <si>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</si>
  <si>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</si>
  <si>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</si>
  <si>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</si>
  <si>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</si>
  <si>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</si>
  <si>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</si>
  <si>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</si>
  <si>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</si>
  <si>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</si>
  <si>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</si>
  <si>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</si>
  <si>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</si>
  <si>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</si>
  <si>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</si>
  <si>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</si>
  <si>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</si>
  <si>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</si>
  <si>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</si>
  <si>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</si>
  <si>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</si>
  <si>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</si>
  <si>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</si>
  <si>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</si>
  <si>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</si>
  <si>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</si>
  <si>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</si>
  <si>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</si>
  <si>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</si>
  <si>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</si>
  <si>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</si>
  <si>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</si>
  <si>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</si>
  <si>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</si>
  <si>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</si>
  <si>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</si>
  <si>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</si>
  <si>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</si>
  <si>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</si>
  <si>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</si>
  <si>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</si>
  <si>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</si>
  <si>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</si>
  <si>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</si>
  <si>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</si>
  <si>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</si>
  <si>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</si>
  <si>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</si>
  <si>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</si>
  <si>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</si>
  <si>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</si>
  <si>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</si>
  <si>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</si>
  <si>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</si>
  <si>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</si>
  <si>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</si>
  <si>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</si>
  <si>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</si>
  <si>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</si>
  <si>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</si>
  <si>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</si>
  <si>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</si>
  <si>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</si>
  <si>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</si>
  <si>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</si>
  <si>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</si>
  <si>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</si>
  <si>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</si>
  <si>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</si>
  <si>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</si>
  <si>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</si>
  <si>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</si>
  <si>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</si>
  <si>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</si>
  <si>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</si>
  <si>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</si>
  <si>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</si>
  <si>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</si>
  <si>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</si>
  <si>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</si>
  <si>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</si>
  <si>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</si>
  <si>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</si>
  <si>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</si>
  <si>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</si>
  <si>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</si>
  <si>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</si>
  <si>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</si>
  <si>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</si>
  <si>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</si>
  <si>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</si>
  <si>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</si>
  <si>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</si>
  <si>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</si>
  <si>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</si>
  <si>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</si>
  <si>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</si>
  <si>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</si>
  <si>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</si>
  <si>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</si>
  <si>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</si>
  <si>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</si>
  <si>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</si>
  <si>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</si>
  <si>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</si>
  <si>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</si>
  <si>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</si>
  <si>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</si>
  <si>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</si>
  <si>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</si>
  <si>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</si>
  <si>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</si>
  <si>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</si>
  <si>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</si>
  <si>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</si>
  <si>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</si>
  <si>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</si>
  <si>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</si>
  <si>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</si>
  <si>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</si>
  <si>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</si>
  <si>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</si>
  <si>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</si>
  <si>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</si>
  <si>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</si>
  <si>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</si>
  <si>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</si>
  <si>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</si>
  <si>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</si>
  <si>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</si>
  <si>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</si>
  <si>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</si>
  <si>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</si>
  <si>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</si>
  <si>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</si>
  <si>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</si>
  <si>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</si>
  <si>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</si>
  <si>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</si>
  <si>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</si>
  <si>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</si>
  <si>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</si>
  <si>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</si>
  <si>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</si>
  <si>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</si>
  <si>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</si>
  <si>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</si>
  <si>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</si>
  <si>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</si>
  <si>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</si>
  <si>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</si>
  <si>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</si>
  <si>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</si>
  <si>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</si>
  <si>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</si>
  <si>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</si>
  <si>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</si>
  <si>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</si>
  <si>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</si>
  <si>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</si>
  <si>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</si>
  <si>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</si>
  <si>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</si>
  <si>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</si>
  <si>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</si>
  <si>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</si>
  <si>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</si>
  <si>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</si>
  <si>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</si>
  <si>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</si>
  <si>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</si>
  <si>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</si>
  <si>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</si>
  <si>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</si>
  <si>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26851338</t>
  </si>
  <si>
    <t>Государственное казенное учреждение Свердловской области "Дом ребенка", г.Екатеринбург</t>
  </si>
  <si>
    <t>6673226267</t>
  </si>
  <si>
    <t>667301001</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</si>
  <si>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</si>
  <si>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</si>
  <si>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</si>
  <si>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</si>
  <si>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</si>
  <si>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</si>
  <si>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</si>
  <si>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</si>
  <si>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</si>
  <si>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</si>
  <si>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</si>
  <si>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</si>
  <si>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</si>
  <si>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</si>
  <si>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</si>
  <si>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</si>
  <si>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</si>
  <si>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</si>
  <si>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</si>
  <si>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</si>
  <si>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</si>
  <si>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</si>
  <si>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</si>
  <si>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</si>
  <si>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</si>
  <si>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</si>
  <si>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</si>
  <si>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</si>
  <si>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</si>
  <si>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</si>
  <si>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</si>
  <si>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</si>
  <si>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</si>
  <si>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</si>
  <si>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</si>
  <si>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</si>
  <si>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</si>
  <si>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</si>
  <si>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</si>
  <si>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</si>
  <si>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</si>
  <si>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</si>
  <si>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</si>
  <si>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</si>
  <si>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</si>
  <si>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</si>
  <si>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</si>
  <si>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</si>
  <si>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</si>
  <si>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</si>
  <si>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</si>
  <si>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</si>
  <si>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</si>
  <si>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</si>
  <si>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</si>
  <si>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</si>
  <si>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</si>
  <si>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</si>
  <si>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</si>
  <si>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</si>
  <si>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</si>
  <si>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</si>
  <si>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</si>
  <si>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</si>
  <si>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</si>
  <si>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</si>
  <si>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</si>
  <si>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</si>
  <si>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</si>
  <si>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</si>
  <si>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</si>
  <si>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</si>
  <si>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</si>
  <si>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</si>
  <si>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</si>
  <si>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</si>
  <si>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</si>
  <si>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</si>
  <si>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</si>
  <si>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</si>
  <si>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</si>
  <si>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</si>
  <si>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</si>
  <si>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</si>
  <si>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</si>
  <si>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</si>
  <si>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</si>
  <si>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</si>
  <si>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</si>
  <si>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</si>
  <si>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</si>
  <si>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</si>
  <si>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</si>
  <si>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</si>
  <si>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</si>
  <si>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</si>
  <si>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28270878</t>
  </si>
  <si>
    <t>Индивидуальный предприниматель Орлова Наталья Владимировна</t>
  </si>
  <si>
    <t>662501406666</t>
  </si>
  <si>
    <t>25-09-2013 00:00:00</t>
  </si>
  <si>
    <t>25-01-2023 00:00:00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</si>
  <si>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</si>
  <si>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</si>
  <si>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</si>
  <si>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</si>
  <si>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</si>
  <si>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</si>
  <si>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</si>
  <si>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</si>
  <si>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</si>
  <si>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</si>
  <si>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</si>
  <si>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</si>
  <si>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</si>
  <si>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661101001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</si>
  <si>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</si>
  <si>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</si>
  <si>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</si>
  <si>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</si>
  <si>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</si>
  <si>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</si>
  <si>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</si>
  <si>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</si>
  <si>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</si>
  <si>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</si>
  <si>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</si>
  <si>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</si>
  <si>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</si>
  <si>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</si>
  <si>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</si>
  <si>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</si>
  <si>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</si>
  <si>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</si>
  <si>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</si>
  <si>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</si>
  <si>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</si>
  <si>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31695978</t>
  </si>
  <si>
    <t>МУП "ТеплоМал"</t>
  </si>
  <si>
    <t>6683020794</t>
  </si>
  <si>
    <t>668301001</t>
  </si>
  <si>
    <t>31603781</t>
  </si>
  <si>
    <t>МУП "ТеплоСевер-Плюс"</t>
  </si>
  <si>
    <t>6617029138</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</si>
  <si>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</si>
  <si>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</si>
  <si>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</si>
  <si>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</si>
  <si>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</si>
  <si>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</si>
  <si>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31169621</t>
  </si>
  <si>
    <t>МУП "Тура Энерго", г. Верхняя Тура</t>
  </si>
  <si>
    <t>6681009971</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</si>
  <si>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</si>
  <si>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</si>
  <si>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</si>
  <si>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</si>
  <si>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</si>
  <si>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</si>
  <si>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</si>
  <si>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</si>
  <si>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</si>
  <si>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</si>
  <si>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</si>
  <si>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</si>
  <si>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</si>
  <si>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</si>
  <si>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</si>
  <si>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</si>
  <si>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</si>
  <si>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</si>
  <si>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</si>
  <si>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</si>
  <si>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</si>
  <si>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</si>
  <si>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</si>
  <si>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</si>
  <si>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</si>
  <si>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</si>
  <si>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</si>
  <si>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</si>
  <si>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</si>
  <si>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</si>
  <si>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</si>
  <si>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</si>
  <si>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</si>
  <si>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</si>
  <si>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</si>
  <si>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</si>
  <si>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</si>
  <si>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</si>
  <si>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</si>
  <si>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</si>
  <si>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</si>
  <si>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</si>
  <si>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</si>
  <si>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</si>
  <si>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</si>
  <si>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</si>
  <si>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</si>
  <si>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</si>
  <si>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</si>
  <si>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</si>
  <si>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</si>
  <si>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</si>
  <si>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</si>
  <si>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</si>
  <si>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</si>
  <si>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</si>
  <si>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</si>
  <si>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</si>
  <si>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</si>
  <si>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</si>
  <si>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</si>
  <si>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</si>
  <si>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</si>
  <si>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</si>
  <si>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</si>
  <si>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</si>
  <si>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</si>
  <si>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</si>
  <si>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</si>
  <si>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</si>
  <si>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</si>
  <si>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</si>
  <si>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</si>
  <si>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</si>
  <si>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</si>
  <si>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</si>
  <si>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</si>
  <si>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</si>
  <si>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</si>
  <si>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</si>
  <si>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</si>
  <si>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</si>
  <si>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</si>
  <si>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</si>
  <si>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</si>
  <si>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</si>
  <si>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</si>
  <si>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</si>
  <si>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</si>
  <si>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</si>
  <si>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</si>
  <si>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</si>
  <si>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</si>
  <si>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</si>
  <si>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</si>
  <si>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</si>
  <si>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</si>
  <si>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</si>
  <si>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</si>
  <si>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</si>
  <si>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</si>
  <si>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</si>
  <si>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</si>
  <si>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</si>
  <si>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</si>
  <si>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</si>
  <si>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</si>
  <si>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</si>
  <si>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</si>
  <si>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</si>
  <si>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</si>
  <si>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</si>
  <si>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</si>
  <si>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</si>
  <si>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</si>
  <si>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</si>
  <si>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</si>
  <si>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</si>
  <si>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</si>
  <si>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</si>
  <si>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665601001</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</si>
  <si>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</si>
  <si>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</si>
  <si>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</si>
  <si>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</si>
  <si>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</si>
  <si>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</si>
  <si>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</si>
  <si>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</si>
  <si>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</si>
  <si>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</si>
  <si>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</si>
  <si>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</si>
  <si>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</si>
  <si>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</si>
  <si>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</si>
  <si>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</si>
  <si>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</si>
  <si>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</si>
  <si>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</si>
  <si>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</si>
  <si>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</si>
  <si>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</si>
  <si>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</si>
  <si>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</si>
  <si>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</si>
  <si>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</si>
  <si>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</si>
  <si>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</si>
  <si>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</si>
  <si>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</si>
  <si>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</si>
  <si>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</si>
  <si>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</si>
  <si>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</si>
  <si>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</si>
  <si>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</si>
  <si>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</si>
  <si>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</si>
  <si>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</si>
  <si>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</si>
  <si>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</si>
  <si>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</si>
  <si>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</si>
  <si>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</si>
  <si>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</si>
  <si>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</si>
  <si>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</si>
  <si>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</si>
  <si>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</si>
  <si>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</si>
  <si>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</si>
  <si>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</si>
  <si>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</si>
  <si>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</si>
  <si>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</si>
  <si>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</si>
  <si>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</si>
  <si>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</si>
  <si>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</si>
  <si>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</si>
  <si>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28427212</t>
  </si>
  <si>
    <t>Муниципальное унитарное предприятие "Тепловодоснабжение", г. Ивдель</t>
  </si>
  <si>
    <t>6617022809</t>
  </si>
  <si>
    <t>21-11-2013 00:00:00</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</si>
  <si>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</si>
  <si>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</si>
  <si>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</si>
  <si>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</si>
  <si>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</si>
  <si>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</si>
  <si>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</si>
  <si>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</si>
  <si>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26359713</t>
  </si>
  <si>
    <t>Муниципальное унитарное предприятие "Тепловые сети п.Верхние Серги", п.Верхние Серги</t>
  </si>
  <si>
    <t>6646010156</t>
  </si>
  <si>
    <t>10-04-2023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</si>
  <si>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</si>
  <si>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</si>
  <si>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</si>
  <si>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</si>
  <si>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</si>
  <si>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</si>
  <si>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</si>
  <si>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</si>
  <si>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</si>
  <si>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</si>
  <si>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</si>
  <si>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</si>
  <si>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</si>
  <si>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</si>
  <si>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</si>
  <si>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</si>
  <si>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</si>
  <si>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</si>
  <si>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</si>
  <si>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</si>
  <si>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</si>
  <si>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</si>
  <si>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</si>
  <si>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</si>
  <si>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</si>
  <si>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</si>
  <si>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</si>
  <si>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</si>
  <si>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</si>
  <si>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</si>
  <si>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</si>
  <si>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</si>
  <si>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</si>
  <si>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</si>
  <si>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</si>
  <si>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</si>
  <si>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</si>
  <si>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</si>
  <si>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</si>
  <si>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</si>
  <si>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</si>
  <si>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</si>
  <si>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</si>
  <si>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</si>
  <si>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</si>
  <si>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</si>
  <si>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</si>
  <si>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</si>
  <si>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</si>
  <si>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</si>
  <si>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</si>
  <si>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</si>
  <si>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</si>
  <si>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</si>
  <si>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</si>
  <si>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</si>
  <si>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</si>
  <si>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</si>
  <si>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</si>
  <si>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</si>
  <si>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</si>
  <si>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</si>
  <si>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</si>
  <si>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</si>
  <si>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</si>
  <si>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</si>
  <si>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</si>
  <si>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</si>
  <si>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</si>
  <si>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</si>
  <si>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</si>
  <si>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</si>
  <si>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664701001</t>
  </si>
  <si>
    <t>26359638</t>
  </si>
  <si>
    <t>Муниципальное унитарное предприятие Новоуральского городского округа "Водогрейная котельная", г.Новоуральск</t>
  </si>
  <si>
    <t>6629012989</t>
  </si>
  <si>
    <t>28547526</t>
  </si>
  <si>
    <t>Муниципальное унитарное предприятие Полевского городского округа "Жилищно-коммунальное хозяйство "Полевское", г. Полевской</t>
  </si>
  <si>
    <t>6679051140</t>
  </si>
  <si>
    <t>19-06-2023 00:00:00</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</si>
  <si>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</si>
  <si>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</si>
  <si>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</si>
  <si>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</si>
  <si>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</si>
  <si>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</si>
  <si>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</si>
  <si>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</si>
  <si>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</si>
  <si>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</si>
  <si>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</si>
  <si>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</si>
  <si>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</si>
  <si>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</si>
  <si>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</si>
  <si>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</si>
  <si>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</si>
  <si>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</si>
  <si>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</si>
  <si>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</si>
  <si>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</si>
  <si>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662501001</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</si>
  <si>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</si>
  <si>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</si>
  <si>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</si>
  <si>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</si>
  <si>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</si>
  <si>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</si>
  <si>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</si>
  <si>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</si>
  <si>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26479430</t>
  </si>
  <si>
    <t>Муниципальное унитарное предприятие жилищно-коммунального хозяйства "Горноуральское" Горноуральского городского округа, п.Горноуральский</t>
  </si>
  <si>
    <t>6623055633</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</si>
  <si>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</si>
  <si>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</si>
  <si>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</si>
  <si>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</si>
  <si>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</si>
  <si>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</si>
  <si>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</si>
  <si>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</si>
  <si>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</si>
  <si>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</si>
  <si>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</si>
  <si>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</si>
  <si>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</si>
  <si>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</si>
  <si>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</si>
  <si>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</si>
  <si>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</si>
  <si>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</si>
  <si>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</si>
  <si>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</si>
  <si>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</si>
  <si>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</si>
  <si>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</si>
  <si>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</si>
  <si>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</si>
  <si>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</si>
  <si>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</si>
  <si>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</si>
  <si>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</si>
  <si>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</si>
  <si>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</si>
  <si>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</si>
  <si>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</si>
  <si>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</si>
  <si>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</si>
  <si>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</si>
  <si>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</si>
  <si>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</si>
  <si>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</si>
  <si>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</si>
  <si>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</si>
  <si>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</si>
  <si>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</si>
  <si>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</si>
  <si>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</si>
  <si>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</si>
  <si>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</si>
  <si>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</si>
  <si>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665201001</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</si>
  <si>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</si>
  <si>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</si>
  <si>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</si>
  <si>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</si>
  <si>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</si>
  <si>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</si>
  <si>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</si>
  <si>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668001001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</si>
  <si>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</si>
  <si>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</si>
  <si>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</si>
  <si>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</si>
  <si>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</si>
  <si>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</si>
  <si>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</si>
  <si>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</si>
  <si>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</si>
  <si>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</si>
  <si>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663501001</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</si>
  <si>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</si>
  <si>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</si>
  <si>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</si>
  <si>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</si>
  <si>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</si>
  <si>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</si>
  <si>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</si>
  <si>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</si>
  <si>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</si>
  <si>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</si>
  <si>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</si>
  <si>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</si>
  <si>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</si>
  <si>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</si>
  <si>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</si>
  <si>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</si>
  <si>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</si>
  <si>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</si>
  <si>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</si>
  <si>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</si>
  <si>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</si>
  <si>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</si>
  <si>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</si>
  <si>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28106478</t>
  </si>
  <si>
    <t>ООО "АтомТеплоЭлектроСеть" - Зареченский филиал ООО "АтомТеплоЭлектроСеть"</t>
  </si>
  <si>
    <t>7705923730</t>
  </si>
  <si>
    <t>663943001</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</si>
  <si>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</si>
  <si>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</si>
  <si>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</si>
  <si>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</si>
  <si>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</si>
  <si>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</si>
  <si>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</si>
  <si>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</si>
  <si>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</si>
  <si>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30956416</t>
  </si>
  <si>
    <t>ООО "Главное управляющее предприятие "Газовые сети", г. Екатеринбург</t>
  </si>
  <si>
    <t>6671064388</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</si>
  <si>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</si>
  <si>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</si>
  <si>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</si>
  <si>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</si>
  <si>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</si>
  <si>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</si>
  <si>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</si>
  <si>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</si>
  <si>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</si>
  <si>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</si>
  <si>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</si>
  <si>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</si>
  <si>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</si>
  <si>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</si>
  <si>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</si>
  <si>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</si>
  <si>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</si>
  <si>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</si>
  <si>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</si>
  <si>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</si>
  <si>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</si>
  <si>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</si>
  <si>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</si>
  <si>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30956404</t>
  </si>
  <si>
    <t>ООО "Март", с. Деево</t>
  </si>
  <si>
    <t>6601010220</t>
  </si>
  <si>
    <t>31370396</t>
  </si>
  <si>
    <t>ООО "Метод"</t>
  </si>
  <si>
    <t>6678058369</t>
  </si>
  <si>
    <t>31156225</t>
  </si>
  <si>
    <t>ООО "Монди Арамиль", г. Арамиль</t>
  </si>
  <si>
    <t>6685148334</t>
  </si>
  <si>
    <t>31423255</t>
  </si>
  <si>
    <t>ООО "Новые Технологии"</t>
  </si>
  <si>
    <t>6672315059</t>
  </si>
  <si>
    <t>667201201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</si>
  <si>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</si>
  <si>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</si>
  <si>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</si>
  <si>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</si>
  <si>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</si>
  <si>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</si>
  <si>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</si>
  <si>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</si>
  <si>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</si>
  <si>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</si>
  <si>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28150178</t>
  </si>
  <si>
    <t>ООО "Пермьэнергосервис"</t>
  </si>
  <si>
    <t>5907048268</t>
  </si>
  <si>
    <t>10-05-2023 00:00:00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</si>
  <si>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</si>
  <si>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</si>
  <si>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</si>
  <si>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</si>
  <si>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</si>
  <si>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</si>
  <si>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</si>
  <si>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</si>
  <si>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</si>
  <si>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</si>
  <si>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</si>
  <si>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</si>
  <si>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</si>
  <si>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</si>
  <si>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</si>
  <si>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</si>
  <si>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</si>
  <si>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</si>
  <si>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</si>
  <si>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</si>
  <si>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</si>
  <si>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</si>
  <si>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</si>
  <si>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</si>
  <si>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</si>
  <si>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</si>
  <si>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</si>
  <si>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</si>
  <si>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</si>
  <si>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</si>
  <si>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</si>
  <si>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</si>
  <si>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</si>
  <si>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31393893</t>
  </si>
  <si>
    <t>ООО "Тепло-Вик"</t>
  </si>
  <si>
    <t>6677013460</t>
  </si>
  <si>
    <t>28-06-2023 00:00:00</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</si>
  <si>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</si>
  <si>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</si>
  <si>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</si>
  <si>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</si>
  <si>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</si>
  <si>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</si>
  <si>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</si>
  <si>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</si>
  <si>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</si>
  <si>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</si>
  <si>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</si>
  <si>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</si>
  <si>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</si>
  <si>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</si>
  <si>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</si>
  <si>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</si>
  <si>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</si>
  <si>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</si>
  <si>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</si>
  <si>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31171552</t>
  </si>
  <si>
    <t>ООО "Территориальная генерирующая компания "Стройком", г. Каменск-Уральский</t>
  </si>
  <si>
    <t>6612053377</t>
  </si>
  <si>
    <t>31667251</t>
  </si>
  <si>
    <t>ООО "ТоргПласт"</t>
  </si>
  <si>
    <t>6673165590</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</si>
  <si>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</si>
  <si>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</si>
  <si>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</si>
  <si>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</si>
  <si>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</si>
  <si>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</si>
  <si>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</si>
  <si>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</si>
  <si>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</si>
  <si>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</si>
  <si>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</si>
  <si>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</si>
  <si>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</si>
  <si>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</si>
  <si>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</si>
  <si>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</si>
  <si>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</si>
  <si>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</si>
  <si>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</si>
  <si>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</si>
  <si>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</si>
  <si>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</si>
  <si>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</si>
  <si>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</si>
  <si>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</si>
  <si>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</si>
  <si>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</si>
  <si>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</si>
  <si>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</si>
  <si>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</si>
  <si>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</si>
  <si>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</si>
  <si>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</si>
  <si>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</si>
  <si>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</si>
  <si>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</si>
  <si>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</si>
  <si>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</si>
  <si>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</si>
  <si>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</si>
  <si>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</si>
  <si>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</si>
  <si>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</si>
  <si>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</si>
  <si>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</si>
  <si>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</si>
  <si>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</si>
  <si>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</si>
  <si>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</si>
  <si>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</si>
  <si>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</si>
  <si>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</si>
  <si>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</si>
  <si>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</si>
  <si>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</si>
  <si>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</si>
  <si>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</si>
  <si>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</si>
  <si>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</si>
  <si>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</si>
  <si>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</si>
  <si>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</si>
  <si>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</si>
  <si>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</si>
  <si>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</si>
  <si>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</si>
  <si>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</si>
  <si>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</si>
  <si>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</si>
  <si>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</si>
  <si>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</si>
  <si>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</si>
  <si>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</si>
  <si>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</si>
  <si>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</si>
  <si>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</si>
  <si>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</si>
  <si>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</si>
  <si>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</si>
  <si>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</si>
  <si>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</si>
  <si>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</si>
  <si>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</si>
  <si>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31062725</t>
  </si>
  <si>
    <t>ООО Строительная компания "Сибирская", г. Екатеринбург</t>
  </si>
  <si>
    <t>6685057831</t>
  </si>
  <si>
    <t>31337809</t>
  </si>
  <si>
    <t>ООО ТК "СИСТЕМА", г. Екатеринбург</t>
  </si>
  <si>
    <t>6658527340</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</si>
  <si>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</si>
  <si>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</si>
  <si>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</si>
  <si>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</si>
  <si>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</si>
  <si>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</si>
  <si>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</si>
  <si>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</si>
  <si>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</si>
  <si>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Акционерного общества "НЛМК-Урал",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</si>
  <si>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</si>
  <si>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</si>
  <si>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</si>
  <si>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</si>
  <si>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</si>
  <si>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</si>
  <si>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</si>
  <si>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</si>
  <si>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</si>
  <si>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</si>
  <si>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</si>
  <si>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</si>
  <si>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</si>
  <si>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</si>
  <si>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</si>
  <si>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</si>
  <si>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</si>
  <si>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</si>
  <si>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</si>
  <si>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</si>
  <si>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</si>
  <si>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</si>
  <si>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</si>
  <si>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</si>
  <si>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</si>
  <si>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</si>
  <si>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</si>
  <si>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</si>
  <si>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</si>
  <si>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30344901</t>
  </si>
  <si>
    <t>Общество с ограниченной ответственностью "Алапаевская ТГК", г. Алапаевск</t>
  </si>
  <si>
    <t>6670353193</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</si>
  <si>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</si>
  <si>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</si>
  <si>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</si>
  <si>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</si>
  <si>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</si>
  <si>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</si>
  <si>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</si>
  <si>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</si>
  <si>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</si>
  <si>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</si>
  <si>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</si>
  <si>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</si>
  <si>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</si>
  <si>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</si>
  <si>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</si>
  <si>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</si>
  <si>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</si>
  <si>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</si>
  <si>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</si>
  <si>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</si>
  <si>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</si>
  <si>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</si>
  <si>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</si>
  <si>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</si>
  <si>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</si>
  <si>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</si>
  <si>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</si>
  <si>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</si>
  <si>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</si>
  <si>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</si>
  <si>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</si>
  <si>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</si>
  <si>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</si>
  <si>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</si>
  <si>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</si>
  <si>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</si>
  <si>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</si>
  <si>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</si>
  <si>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26632558</t>
  </si>
  <si>
    <t>Общество с ограниченной ответственностью "Вторчермет НЛМК Урал", г.Екатеринбург</t>
  </si>
  <si>
    <t>6674342481</t>
  </si>
  <si>
    <t>26479239</t>
  </si>
  <si>
    <t>Общество с ограниченной ответственностью "Газ-сервис Энерго", г.Екатеринбург</t>
  </si>
  <si>
    <t>6672174175</t>
  </si>
  <si>
    <t>667201001</t>
  </si>
  <si>
    <t>22-03-2023 00:00:00</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</si>
  <si>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</si>
  <si>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</si>
  <si>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</si>
  <si>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</si>
  <si>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</si>
  <si>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</si>
  <si>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</si>
  <si>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</si>
  <si>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</si>
  <si>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</si>
  <si>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</si>
  <si>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</si>
  <si>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</si>
  <si>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АРП 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</si>
  <si>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</si>
  <si>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</si>
  <si>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</si>
  <si>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</si>
  <si>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</si>
  <si>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</si>
  <si>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</si>
  <si>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</si>
  <si>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</si>
  <si>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</si>
  <si>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</si>
  <si>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</si>
  <si>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</si>
  <si>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</si>
  <si>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</si>
  <si>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</si>
  <si>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</si>
  <si>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</si>
  <si>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</si>
  <si>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</si>
  <si>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</si>
  <si>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</si>
  <si>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</si>
  <si>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</si>
  <si>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</si>
  <si>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</si>
  <si>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</si>
  <si>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</si>
  <si>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</si>
  <si>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</si>
  <si>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</si>
  <si>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</si>
  <si>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</si>
  <si>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</si>
  <si>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</si>
  <si>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28813978</t>
  </si>
  <si>
    <t>Общество с ограниченной ответственностью "Городская энергосервисная компания", г. Нижняя Тура</t>
  </si>
  <si>
    <t>6670007965</t>
  </si>
  <si>
    <t>16-09-2014 00:00:00</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</si>
  <si>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</si>
  <si>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</si>
  <si>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</si>
  <si>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</si>
  <si>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</si>
  <si>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</si>
  <si>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</si>
  <si>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</si>
  <si>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</si>
  <si>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</si>
  <si>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</si>
  <si>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</si>
  <si>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</si>
  <si>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</si>
  <si>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</si>
  <si>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</si>
  <si>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</si>
  <si>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</si>
  <si>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</si>
  <si>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</si>
  <si>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</si>
  <si>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</si>
  <si>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26479227</t>
  </si>
  <si>
    <t>Общество с ограниченной ответственностью "Западные Окраины", г. Первоуральск</t>
  </si>
  <si>
    <t>6625046673</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</si>
  <si>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</si>
  <si>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</si>
  <si>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</si>
  <si>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</si>
  <si>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</si>
  <si>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</si>
  <si>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</si>
  <si>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</si>
  <si>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</si>
  <si>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</si>
  <si>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</si>
  <si>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</si>
  <si>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</si>
  <si>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</si>
  <si>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</si>
  <si>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</si>
  <si>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</si>
  <si>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</si>
  <si>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</si>
  <si>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</si>
  <si>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</si>
  <si>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</si>
  <si>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</si>
  <si>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</si>
  <si>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</si>
  <si>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</si>
  <si>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</si>
  <si>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</si>
  <si>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</si>
  <si>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</si>
  <si>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</si>
  <si>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</si>
  <si>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</si>
  <si>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</si>
  <si>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</si>
  <si>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</si>
  <si>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</si>
  <si>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26850841</t>
  </si>
  <si>
    <t>Общество с ограниченной ответственностью "Косулинское производственное предприятие", с.Косулино</t>
  </si>
  <si>
    <t>6639016608</t>
  </si>
  <si>
    <t>30-06-2023 00:00:00</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</si>
  <si>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</si>
  <si>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</si>
  <si>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</si>
  <si>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</si>
  <si>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</si>
  <si>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</si>
  <si>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</si>
  <si>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</si>
  <si>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</si>
  <si>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</si>
  <si>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</si>
  <si>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</si>
  <si>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</si>
  <si>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</si>
  <si>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</si>
  <si>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</si>
  <si>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</si>
  <si>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</si>
  <si>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</si>
  <si>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</si>
  <si>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</si>
  <si>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</si>
  <si>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</si>
  <si>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</si>
  <si>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</si>
  <si>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</si>
  <si>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</si>
  <si>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</si>
  <si>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</si>
  <si>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</si>
  <si>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</si>
  <si>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</si>
  <si>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</si>
  <si>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</si>
  <si>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</si>
  <si>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</si>
  <si>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</si>
  <si>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</si>
  <si>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</si>
  <si>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</si>
  <si>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</si>
  <si>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</si>
  <si>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</si>
  <si>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</si>
  <si>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26479420</t>
  </si>
  <si>
    <t>Общество с ограниченной ответственностью "Объединенные Пивоварни Хейнекен" филиал "Патра", г.Екатеринбург</t>
  </si>
  <si>
    <t>7802118578</t>
  </si>
  <si>
    <t>667103001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</si>
  <si>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</si>
  <si>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</si>
  <si>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</si>
  <si>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</si>
  <si>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</si>
  <si>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</si>
  <si>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</si>
  <si>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</si>
  <si>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</si>
  <si>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</si>
  <si>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</si>
  <si>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</si>
  <si>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</si>
  <si>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</si>
  <si>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</si>
  <si>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</si>
  <si>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</si>
  <si>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</si>
  <si>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</si>
  <si>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</si>
  <si>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</si>
  <si>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</si>
  <si>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</si>
  <si>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</si>
  <si>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</si>
  <si>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</si>
  <si>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</si>
  <si>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</si>
  <si>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</si>
  <si>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</si>
  <si>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</si>
  <si>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</si>
  <si>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28256780</t>
  </si>
  <si>
    <t>Общество с ограниченной ответственностью "Региональные коммунальные системы", г. Кушва</t>
  </si>
  <si>
    <t>6620011148</t>
  </si>
  <si>
    <t>16-08-2013 00:00:00</t>
  </si>
  <si>
    <t>28-09-2023 00:00:00</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</si>
  <si>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</si>
  <si>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</si>
  <si>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</si>
  <si>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</si>
  <si>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</si>
  <si>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</si>
  <si>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</si>
  <si>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</si>
  <si>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</si>
  <si>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</si>
  <si>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</si>
  <si>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</si>
  <si>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</si>
  <si>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</si>
  <si>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</si>
  <si>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</si>
  <si>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</si>
  <si>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</si>
  <si>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</si>
  <si>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</si>
  <si>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</si>
  <si>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</si>
  <si>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</si>
  <si>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</si>
  <si>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</si>
  <si>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</si>
  <si>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</si>
  <si>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</si>
  <si>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</si>
  <si>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</si>
  <si>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</si>
  <si>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</si>
  <si>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</si>
  <si>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</si>
  <si>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</si>
  <si>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</si>
  <si>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</si>
  <si>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</si>
  <si>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</si>
  <si>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</si>
  <si>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</si>
  <si>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</si>
  <si>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</si>
  <si>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</si>
  <si>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</si>
  <si>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</si>
  <si>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</si>
  <si>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</si>
  <si>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</si>
  <si>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</si>
  <si>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</si>
  <si>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</si>
  <si>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</si>
  <si>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</si>
  <si>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</si>
  <si>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</si>
  <si>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</si>
  <si>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</si>
  <si>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</si>
  <si>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</si>
  <si>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</si>
  <si>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</si>
  <si>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</si>
  <si>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</si>
  <si>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</si>
  <si>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</si>
  <si>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</si>
  <si>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</si>
  <si>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</si>
  <si>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</si>
  <si>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</si>
  <si>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</si>
  <si>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</si>
  <si>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</si>
  <si>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</si>
  <si>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</si>
  <si>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</si>
  <si>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</si>
  <si>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</si>
  <si>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28056901</t>
  </si>
  <si>
    <t>Общество с ограниченной ответственностью "ТеплоГенерация", г. Екатеринбург</t>
  </si>
  <si>
    <t>6658411392</t>
  </si>
  <si>
    <t>21-04-2023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</si>
  <si>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</si>
  <si>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</si>
  <si>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</si>
  <si>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</si>
  <si>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</si>
  <si>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</si>
  <si>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</si>
  <si>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</si>
  <si>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</si>
  <si>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</si>
  <si>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</si>
  <si>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</si>
  <si>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</si>
  <si>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</si>
  <si>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26-12-2013 00:00:00</t>
  </si>
  <si>
    <t>31319755</t>
  </si>
  <si>
    <t>Общество с ограниченной ответственностью "Теплосеть", п. Буланаш</t>
  </si>
  <si>
    <t>6677012844</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</si>
  <si>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</si>
  <si>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</si>
  <si>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</si>
  <si>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</si>
  <si>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</si>
  <si>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</si>
  <si>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</si>
  <si>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</si>
  <si>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</si>
  <si>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</si>
  <si>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</si>
  <si>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</si>
  <si>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</si>
  <si>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</si>
  <si>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</si>
  <si>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</si>
  <si>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</si>
  <si>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</si>
  <si>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</si>
  <si>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</si>
  <si>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</si>
  <si>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</si>
  <si>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</si>
  <si>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</si>
  <si>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</si>
  <si>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</si>
  <si>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</si>
  <si>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</si>
  <si>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</si>
  <si>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</si>
  <si>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</si>
  <si>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</si>
  <si>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</si>
  <si>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</si>
  <si>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</si>
  <si>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27569476</t>
  </si>
  <si>
    <t>Общество с ограниченной ответственностью "Управляющая компания "Белореченское", с.Кочневское</t>
  </si>
  <si>
    <t>6639020516</t>
  </si>
  <si>
    <t>10-03-2010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</si>
  <si>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</si>
  <si>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</si>
  <si>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</si>
  <si>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</si>
  <si>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</si>
  <si>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</si>
  <si>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</si>
  <si>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</si>
  <si>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</si>
  <si>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</si>
  <si>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</si>
  <si>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</si>
  <si>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</si>
  <si>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</si>
  <si>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</si>
  <si>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</si>
  <si>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</si>
  <si>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</si>
  <si>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</si>
  <si>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</si>
  <si>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</si>
  <si>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</si>
  <si>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</si>
  <si>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</si>
  <si>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</si>
  <si>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</si>
  <si>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</si>
  <si>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</si>
  <si>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</si>
  <si>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</si>
  <si>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</si>
  <si>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</si>
  <si>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</si>
  <si>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</si>
  <si>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</si>
  <si>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</si>
  <si>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</si>
  <si>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</si>
  <si>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</si>
  <si>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</si>
  <si>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</si>
  <si>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</si>
  <si>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</si>
  <si>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</si>
  <si>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</si>
  <si>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</si>
  <si>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</si>
  <si>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</si>
  <si>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</si>
  <si>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</si>
  <si>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</si>
  <si>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</si>
  <si>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</si>
  <si>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</si>
  <si>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</si>
  <si>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</si>
  <si>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</si>
  <si>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</si>
  <si>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</si>
  <si>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</si>
  <si>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</si>
  <si>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</si>
  <si>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</si>
  <si>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</si>
  <si>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</si>
  <si>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</si>
  <si>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</si>
  <si>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</si>
  <si>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</si>
  <si>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</si>
  <si>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</si>
  <si>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</si>
  <si>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</si>
  <si>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</si>
  <si>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</si>
  <si>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</si>
  <si>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</si>
  <si>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</si>
  <si>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</si>
  <si>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</si>
  <si>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</si>
  <si>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</si>
  <si>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</si>
  <si>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</si>
  <si>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</si>
  <si>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</si>
  <si>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</si>
  <si>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</si>
  <si>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</si>
  <si>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27361322</t>
  </si>
  <si>
    <t>Общество с ограниченной ответственностью "Энергосервис"</t>
  </si>
  <si>
    <t>4505200827</t>
  </si>
  <si>
    <t>12-04-2011 00:00:00</t>
  </si>
  <si>
    <t>23-06-2023 00:00:00</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</si>
  <si>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</si>
  <si>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</si>
  <si>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</si>
  <si>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</si>
  <si>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</si>
  <si>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</si>
  <si>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</si>
  <si>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</si>
  <si>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</si>
  <si>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</si>
  <si>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</si>
  <si>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</si>
  <si>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</si>
  <si>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</si>
  <si>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</si>
  <si>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</si>
  <si>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</si>
  <si>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</si>
  <si>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</si>
  <si>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</si>
  <si>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</si>
  <si>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</si>
  <si>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</si>
  <si>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</si>
  <si>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</si>
  <si>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</si>
  <si>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</si>
  <si>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</si>
  <si>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</si>
  <si>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</si>
  <si>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</si>
  <si>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</si>
  <si>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26851284</t>
  </si>
  <si>
    <t>Общество с ограниченной ответственностью Сетевая Компания "Новая Энергетика", г.Екатеринбург</t>
  </si>
  <si>
    <t>6659208869</t>
  </si>
  <si>
    <t>17-01-2023 00:00:00</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</si>
  <si>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</si>
  <si>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</si>
  <si>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</si>
  <si>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</si>
  <si>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</si>
  <si>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</si>
  <si>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</si>
  <si>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</si>
  <si>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</si>
  <si>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</si>
  <si>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</si>
  <si>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</si>
  <si>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</si>
  <si>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</si>
  <si>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</si>
  <si>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</si>
  <si>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</si>
  <si>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</si>
  <si>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</si>
  <si>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</si>
  <si>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</si>
  <si>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</si>
  <si>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</si>
  <si>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</si>
  <si>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</si>
  <si>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</si>
  <si>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</si>
  <si>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</si>
  <si>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</si>
  <si>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</si>
  <si>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</si>
  <si>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</si>
  <si>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</si>
  <si>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</si>
  <si>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</si>
  <si>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</si>
  <si>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</si>
  <si>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</si>
  <si>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</si>
  <si>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</si>
  <si>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</si>
  <si>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</si>
  <si>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</si>
  <si>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</si>
  <si>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</si>
  <si>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</si>
  <si>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</si>
  <si>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</si>
  <si>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</si>
  <si>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</si>
  <si>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</si>
  <si>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</si>
  <si>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</si>
  <si>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</si>
  <si>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</si>
  <si>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</si>
  <si>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</si>
  <si>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</si>
  <si>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</si>
  <si>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</si>
  <si>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</si>
  <si>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</si>
  <si>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</si>
  <si>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</si>
  <si>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</si>
  <si>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</si>
  <si>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</si>
  <si>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</si>
  <si>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</si>
  <si>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</si>
  <si>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</si>
  <si>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</si>
  <si>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</si>
  <si>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</si>
  <si>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</si>
  <si>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</si>
  <si>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26359652</t>
  </si>
  <si>
    <t>Открытое акционерное общество "Санаторий "Курьи", с.Курьи</t>
  </si>
  <si>
    <t>6633022147</t>
  </si>
  <si>
    <t>26-06-2001 00:00:00</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</si>
  <si>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</si>
  <si>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</si>
  <si>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</si>
  <si>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</si>
  <si>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</si>
  <si>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</si>
  <si>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</si>
  <si>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</si>
  <si>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</si>
  <si>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</si>
  <si>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</si>
  <si>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</si>
  <si>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</si>
  <si>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</si>
  <si>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</si>
  <si>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</si>
  <si>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</si>
  <si>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</si>
  <si>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</si>
  <si>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</si>
  <si>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</si>
  <si>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</si>
  <si>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</si>
  <si>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</si>
  <si>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</si>
  <si>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</si>
  <si>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</si>
  <si>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</si>
  <si>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</si>
  <si>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</si>
  <si>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26479231</t>
  </si>
  <si>
    <t>Открытое акционерное общество "Энергозапчасть", г.Красноуральск</t>
  </si>
  <si>
    <t>6618000484</t>
  </si>
  <si>
    <t>661801001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</si>
  <si>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</si>
  <si>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</si>
  <si>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</si>
  <si>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</si>
  <si>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</si>
  <si>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</si>
  <si>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</si>
  <si>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26357500</t>
  </si>
  <si>
    <t>ПАО "Новолипецкий металлургический комбинат"</t>
  </si>
  <si>
    <t>4823006703</t>
  </si>
  <si>
    <t>482301001</t>
  </si>
  <si>
    <t>26322623</t>
  </si>
  <si>
    <t>ПАО "Уралхиммаш", г.Екатеринбург</t>
  </si>
  <si>
    <t>6664013880</t>
  </si>
  <si>
    <t>28-06-1996 00:00:00</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</si>
  <si>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</si>
  <si>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</si>
  <si>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</si>
  <si>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</si>
  <si>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</si>
  <si>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</si>
  <si>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</si>
  <si>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</si>
  <si>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</si>
  <si>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</si>
  <si>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26359689</t>
  </si>
  <si>
    <t>Привокзальное территориальное управление Администрации городского округа Верхотурский, п.Привокзальный</t>
  </si>
  <si>
    <t>6640001050</t>
  </si>
  <si>
    <t>26479609</t>
  </si>
  <si>
    <t>Прокоп-Салдинское территориальное управление Администрации городского округа Верхотурский, с.Прокопьевская Салда</t>
  </si>
  <si>
    <t>6640001363</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</si>
  <si>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</si>
  <si>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</si>
  <si>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</si>
  <si>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</si>
  <si>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</si>
  <si>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</si>
  <si>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</si>
  <si>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</si>
  <si>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</si>
  <si>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</si>
  <si>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</si>
  <si>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</si>
  <si>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</si>
  <si>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</si>
  <si>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</si>
  <si>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</si>
  <si>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</si>
  <si>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</si>
  <si>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</si>
  <si>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</si>
  <si>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</si>
  <si>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</si>
  <si>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</si>
  <si>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</si>
  <si>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</si>
  <si>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</si>
  <si>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</si>
  <si>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</si>
  <si>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</si>
  <si>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</si>
  <si>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</si>
  <si>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</si>
  <si>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</si>
  <si>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</si>
  <si>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</si>
  <si>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</si>
  <si>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</si>
  <si>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</si>
  <si>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</si>
  <si>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</si>
  <si>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</si>
  <si>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</si>
  <si>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</si>
  <si>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</si>
  <si>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</si>
  <si>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</si>
  <si>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</si>
  <si>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</si>
  <si>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</si>
  <si>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</si>
  <si>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</si>
  <si>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</si>
  <si>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</si>
  <si>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</si>
  <si>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</si>
  <si>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</si>
  <si>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</si>
  <si>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</si>
  <si>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</si>
  <si>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</si>
  <si>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</si>
  <si>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</si>
  <si>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</si>
  <si>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</si>
  <si>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</si>
  <si>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</si>
  <si>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</si>
  <si>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</si>
  <si>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</si>
  <si>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</si>
  <si>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</si>
  <si>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</si>
  <si>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</si>
  <si>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</si>
  <si>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</si>
  <si>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</si>
  <si>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</si>
  <si>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</si>
  <si>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</si>
  <si>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</si>
  <si>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</si>
  <si>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</si>
  <si>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</si>
  <si>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</si>
  <si>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</si>
  <si>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</si>
  <si>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</si>
  <si>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</si>
  <si>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</si>
  <si>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</si>
  <si>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</si>
  <si>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</si>
  <si>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</si>
  <si>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</si>
  <si>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</si>
  <si>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</si>
  <si>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</si>
  <si>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</si>
  <si>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</si>
  <si>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</si>
  <si>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</si>
  <si>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</si>
  <si>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</si>
  <si>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</si>
  <si>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</si>
  <si>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</si>
  <si>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</si>
  <si>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</si>
  <si>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</si>
  <si>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</si>
  <si>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</si>
  <si>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</si>
  <si>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</si>
  <si>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</si>
  <si>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</si>
  <si>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</si>
  <si>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</si>
  <si>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</si>
  <si>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</si>
  <si>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</si>
  <si>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</si>
  <si>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</si>
  <si>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</si>
  <si>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</si>
  <si>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</si>
  <si>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</si>
  <si>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</si>
  <si>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</si>
  <si>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</si>
  <si>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</si>
  <si>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</si>
  <si>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</si>
  <si>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</si>
  <si>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</si>
  <si>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</si>
  <si>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</si>
  <si>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</si>
  <si>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</si>
  <si>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</si>
  <si>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</si>
  <si>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30959087</t>
  </si>
  <si>
    <t>ООО "УЖК "Территория-Запад", г.Екатеринбург</t>
  </si>
  <si>
    <t>6679041135</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</si>
  <si>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</si>
  <si>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</si>
  <si>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</si>
  <si>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</si>
  <si>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</si>
  <si>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</si>
  <si>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</si>
  <si>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</si>
  <si>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</si>
  <si>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</si>
  <si>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</si>
  <si>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</si>
  <si>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</si>
  <si>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</si>
  <si>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</si>
  <si>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</si>
  <si>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660301001</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</si>
  <si>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</si>
  <si>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</si>
  <si>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</si>
  <si>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</si>
  <si>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</si>
  <si>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</si>
  <si>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</si>
  <si>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</si>
  <si>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</si>
  <si>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</si>
  <si>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</si>
  <si>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</si>
  <si>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</si>
  <si>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</si>
  <si>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</si>
  <si>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</si>
  <si>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</si>
  <si>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</si>
  <si>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</si>
  <si>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26481098</t>
  </si>
  <si>
    <t>Дочернее федеральное государственное унитарное сельскохозяйственное предприятие "Таёжный", г.Лесной</t>
  </si>
  <si>
    <t>6630008521</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</si>
  <si>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</si>
  <si>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</si>
  <si>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</si>
  <si>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</si>
  <si>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</si>
  <si>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</si>
  <si>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</si>
  <si>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</si>
  <si>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</si>
  <si>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</si>
  <si>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</si>
  <si>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</si>
  <si>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</si>
  <si>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</si>
  <si>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</si>
  <si>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</si>
  <si>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</si>
  <si>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</si>
  <si>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</si>
  <si>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</si>
  <si>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</si>
  <si>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</si>
  <si>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</si>
  <si>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31679555</t>
  </si>
  <si>
    <t>МКУ Кушвинского городского округа "Коммунальные сети"</t>
  </si>
  <si>
    <t>6681013505</t>
  </si>
  <si>
    <t>31349055</t>
  </si>
  <si>
    <t>МУП "Водоснабжение" Белоярского городского округа</t>
  </si>
  <si>
    <t>6683016043</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</si>
  <si>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</si>
  <si>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</si>
  <si>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</si>
  <si>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</si>
  <si>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</si>
  <si>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</si>
  <si>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</si>
  <si>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</si>
  <si>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</si>
  <si>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</si>
  <si>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</si>
  <si>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</si>
  <si>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</si>
  <si>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</si>
  <si>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</si>
  <si>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</si>
  <si>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</si>
  <si>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</si>
  <si>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</si>
  <si>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</si>
  <si>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</si>
  <si>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</si>
  <si>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</si>
  <si>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</si>
  <si>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</si>
  <si>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</si>
  <si>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</si>
  <si>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</si>
  <si>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</si>
  <si>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</si>
  <si>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</si>
  <si>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</si>
  <si>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</si>
  <si>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</si>
  <si>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</si>
  <si>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</si>
  <si>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</si>
  <si>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</si>
  <si>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</si>
  <si>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31558158</t>
  </si>
  <si>
    <t>МУП Шалинского городского округа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</si>
  <si>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</si>
  <si>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</si>
  <si>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</si>
  <si>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</si>
  <si>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</si>
  <si>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городского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</si>
  <si>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</si>
  <si>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</si>
  <si>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</si>
  <si>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</si>
  <si>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</si>
  <si>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</si>
  <si>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</si>
  <si>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</si>
  <si>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</si>
  <si>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</si>
  <si>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</si>
  <si>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28821229</t>
  </si>
  <si>
    <t>Муниципальное унитарное предприятие "Водоканал городского округа Дегтярск", г. Дегтярск</t>
  </si>
  <si>
    <t>6684016590</t>
  </si>
  <si>
    <t>18-05-2023 00:00:00</t>
  </si>
  <si>
    <t>27572361</t>
  </si>
  <si>
    <t>Муниципальное унитарное предприятие "Водоканал", г.Реж</t>
  </si>
  <si>
    <t>6628015708</t>
  </si>
  <si>
    <t>27-06-2023 00:00:00</t>
  </si>
  <si>
    <t>27768176</t>
  </si>
  <si>
    <t>Муниципальное унитарное предприятие "Водоканал", п. Сосьва</t>
  </si>
  <si>
    <t>6680000493</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</si>
  <si>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</si>
  <si>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</si>
  <si>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</si>
  <si>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</si>
  <si>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</si>
  <si>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г.Сухой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</si>
  <si>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</si>
  <si>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</si>
  <si>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</si>
  <si>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</si>
  <si>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</si>
  <si>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</si>
  <si>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26629934</t>
  </si>
  <si>
    <t>Муниципальное унитарное предприятие "Городской водоканал Алапаевска", г.Алапаевск</t>
  </si>
  <si>
    <t>6601014859</t>
  </si>
  <si>
    <t>16-12-2009 00:00:00</t>
  </si>
  <si>
    <t>26481112</t>
  </si>
  <si>
    <t>Муниципальное унитарное предприятие "ЖКХ-Манчаж", с. Манчаж</t>
  </si>
  <si>
    <t>6646013453</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</si>
  <si>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</si>
  <si>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</si>
  <si>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</si>
  <si>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</si>
  <si>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</si>
  <si>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городского округа, г. Невьянск</t>
  </si>
  <si>
    <t>6682001206</t>
  </si>
  <si>
    <t>28891382</t>
  </si>
  <si>
    <t>Муниципальное унитарное предприятие "Пригородная управляющая компания", с. Покровское</t>
  </si>
  <si>
    <t>6623094664</t>
  </si>
  <si>
    <t>12-02-2015 00:00:00</t>
  </si>
  <si>
    <t>26648012</t>
  </si>
  <si>
    <t>Муниципальное унитарное предприятие "Режевское водопроводно-канализационное предприятие", г. Реж</t>
  </si>
  <si>
    <t>6628016211</t>
  </si>
  <si>
    <t>27918060</t>
  </si>
  <si>
    <t>Муниципальное унитарное предприятие "Тепловодоканал", г. Богданович</t>
  </si>
  <si>
    <t>6633019419</t>
  </si>
  <si>
    <t>07-09-2012 00:00:00</t>
  </si>
  <si>
    <t>27-04-2023 00:00:00</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</si>
  <si>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</si>
  <si>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</si>
  <si>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</si>
  <si>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</si>
  <si>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</si>
  <si>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</si>
  <si>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</si>
  <si>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</si>
  <si>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</si>
  <si>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</si>
  <si>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</si>
  <si>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</si>
  <si>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</si>
  <si>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26481066</t>
  </si>
  <si>
    <t>Муниципальное унитарное предприятие Новолялинского городского округа "Водоканал города Новая Ляля", г.Новая Ляля</t>
  </si>
  <si>
    <t>6647004300</t>
  </si>
  <si>
    <t>03-03-2023 00:00:00</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</si>
  <si>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</si>
  <si>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</si>
  <si>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</si>
  <si>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</si>
  <si>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</si>
  <si>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</si>
  <si>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</si>
  <si>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664901001</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</si>
  <si>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</si>
  <si>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</si>
  <si>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</si>
  <si>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</si>
  <si>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</si>
  <si>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</si>
  <si>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</si>
  <si>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</si>
  <si>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28830192</t>
  </si>
  <si>
    <t>Муниципальное унитарное предприятие городского округа Заречный "Теплоснабжение", г. Заречный</t>
  </si>
  <si>
    <t>6683002019</t>
  </si>
  <si>
    <t>03-12-2014 00:00:00</t>
  </si>
  <si>
    <t>28149803</t>
  </si>
  <si>
    <t>Муниципальное унитарное предприятие жилищно-коммунального хозяйства "Водоканал", г. Туринск</t>
  </si>
  <si>
    <t>6676001670</t>
  </si>
  <si>
    <t>26479195</t>
  </si>
  <si>
    <t>Муниципальное унитарное предприятие жилищно-коммунального хозяйства "Техник", п.Юшала</t>
  </si>
  <si>
    <t>6655003187</t>
  </si>
  <si>
    <t>30335441</t>
  </si>
  <si>
    <t>Муниципальное унитарное сельскохозяйственное предприятие "Каменская машинно-технологическая станция", пгт. Мартюш</t>
  </si>
  <si>
    <t>6643008832</t>
  </si>
  <si>
    <t>10-07-2023 00:00:00</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</si>
  <si>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</si>
  <si>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</si>
  <si>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</si>
  <si>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</si>
  <si>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</si>
  <si>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</si>
  <si>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</si>
  <si>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</si>
  <si>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</si>
  <si>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</si>
  <si>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</si>
  <si>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</si>
  <si>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31316593</t>
  </si>
  <si>
    <t>ООО "Система"</t>
  </si>
  <si>
    <t>6685160162</t>
  </si>
  <si>
    <t>31529061</t>
  </si>
  <si>
    <t>ООО "Терра Груп"</t>
  </si>
  <si>
    <t>6658244536</t>
  </si>
  <si>
    <t>31433047</t>
  </si>
  <si>
    <t>ООО "Управляющая компания "Николин ключ"</t>
  </si>
  <si>
    <t>6672359507</t>
  </si>
  <si>
    <t>31573848</t>
  </si>
  <si>
    <t>ООО "Чистая вода"</t>
  </si>
  <si>
    <t>6679127872</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</si>
  <si>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</si>
  <si>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</si>
  <si>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</si>
  <si>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</si>
  <si>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</si>
  <si>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</si>
  <si>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</si>
  <si>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</si>
  <si>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</si>
  <si>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</si>
  <si>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</si>
  <si>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</si>
  <si>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27-04-2006 00:00:00</t>
  </si>
  <si>
    <t>26481121</t>
  </si>
  <si>
    <t>Общество с ограниченной ответственностью "Агрофирма "Ницинская", с.Ницинское</t>
  </si>
  <si>
    <t>6651004479</t>
  </si>
  <si>
    <t>19-09-2023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</si>
  <si>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</si>
  <si>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</si>
  <si>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</si>
  <si>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</si>
  <si>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</si>
  <si>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</si>
  <si>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</si>
  <si>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</si>
  <si>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</si>
  <si>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</si>
  <si>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</si>
  <si>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</si>
  <si>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</si>
  <si>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</si>
  <si>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28955483</t>
  </si>
  <si>
    <t>Общество с ограниченной ответственностью "Водоканал-Ирбит", г. Ирбит</t>
  </si>
  <si>
    <t>6676003950</t>
  </si>
  <si>
    <t>23-04-2015 00:00:00</t>
  </si>
  <si>
    <t>26479536</t>
  </si>
  <si>
    <t>Общество с ограниченной ответственностью "Водоканал-НТ", г.Нижний Тагил</t>
  </si>
  <si>
    <t>6623034200</t>
  </si>
  <si>
    <t>13-09-2006 00:00:00</t>
  </si>
  <si>
    <t>28492104</t>
  </si>
  <si>
    <t>Общество с ограниченной ответственностью "Водолей", г. Кушва</t>
  </si>
  <si>
    <t>6681003994</t>
  </si>
  <si>
    <t>13-03-2014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</si>
  <si>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</si>
  <si>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</si>
  <si>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</si>
  <si>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</si>
  <si>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</si>
  <si>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</si>
  <si>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</si>
  <si>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</si>
  <si>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28818964</t>
  </si>
  <si>
    <t>Общество с ограниченной ответственностью "Дирекция жилого комплекса "Золотая горка", г. Екатеринбург</t>
  </si>
  <si>
    <t>6685035570</t>
  </si>
  <si>
    <t>16-10-2014 00:00:00</t>
  </si>
  <si>
    <t>20-01-2023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</si>
  <si>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</si>
  <si>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</si>
  <si>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</si>
  <si>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</si>
  <si>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</si>
  <si>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</si>
  <si>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31319165</t>
  </si>
  <si>
    <t>Общество с ограниченной ответственностью "РСК ИЛАН"</t>
  </si>
  <si>
    <t>6633027233</t>
  </si>
  <si>
    <t>19-06-2019 00:00:00</t>
  </si>
  <si>
    <t>26631814</t>
  </si>
  <si>
    <t>Общество с ограниченной ответственностью "Родник", п.Баранчинский</t>
  </si>
  <si>
    <t>6620014117</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</si>
  <si>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</si>
  <si>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</si>
  <si>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</si>
  <si>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</si>
  <si>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</si>
  <si>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</si>
  <si>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</si>
  <si>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</si>
  <si>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</si>
  <si>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</si>
  <si>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</si>
  <si>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</si>
  <si>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</si>
  <si>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</si>
  <si>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</si>
  <si>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</si>
  <si>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</si>
  <si>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</si>
  <si>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</si>
  <si>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</si>
  <si>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</si>
  <si>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</si>
  <si>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</si>
  <si>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</si>
  <si>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</si>
  <si>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</si>
  <si>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</si>
  <si>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</si>
  <si>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</si>
  <si>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</si>
  <si>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</si>
  <si>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</si>
  <si>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</si>
  <si>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</si>
  <si>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</si>
  <si>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</si>
  <si>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</si>
  <si>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</si>
  <si>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</si>
  <si>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</si>
  <si>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</si>
  <si>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</si>
  <si>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</si>
  <si>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</si>
  <si>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</si>
  <si>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</si>
  <si>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</si>
  <si>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</si>
  <si>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</si>
  <si>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</si>
  <si>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</si>
  <si>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</si>
  <si>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</si>
  <si>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</si>
  <si>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</si>
  <si>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</si>
  <si>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</si>
  <si>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</si>
  <si>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</si>
  <si>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</si>
  <si>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</si>
  <si>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</si>
  <si>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</si>
  <si>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</si>
  <si>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</si>
  <si>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</si>
  <si>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</si>
  <si>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</si>
  <si>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</si>
  <si>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</si>
  <si>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</si>
  <si>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</si>
  <si>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</si>
  <si>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</si>
  <si>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</si>
  <si>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</si>
  <si>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</si>
  <si>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</si>
  <si>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</si>
  <si>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</si>
  <si>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</si>
  <si>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</si>
  <si>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</si>
  <si>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</si>
  <si>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</si>
  <si>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</si>
  <si>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</si>
  <si>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</si>
  <si>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31601247</t>
  </si>
  <si>
    <t>МКУ Ачитского городского округа "Служба по работе с населением "Совет"</t>
  </si>
  <si>
    <t>6619026037</t>
  </si>
  <si>
    <t>31432616</t>
  </si>
  <si>
    <t>МУП "Белоярскспецавтотранс"</t>
  </si>
  <si>
    <t>6683001576</t>
  </si>
  <si>
    <t>31535140</t>
  </si>
  <si>
    <t>МУП "Водоотведение" Белоярский городской округ</t>
  </si>
  <si>
    <t>6683018241</t>
  </si>
  <si>
    <t>31348366</t>
  </si>
  <si>
    <t>МУП НГО «Сток»</t>
  </si>
  <si>
    <t>6680008809</t>
  </si>
  <si>
    <t>31421309</t>
  </si>
  <si>
    <t>МУП Талицкого городского округа "Единая управляющая компания ТГО"</t>
  </si>
  <si>
    <t>6633023599</t>
  </si>
  <si>
    <t>28827826</t>
  </si>
  <si>
    <t>Муниципальное унитарное предприятие "Муниципальный заказчик", г. Красноуральск</t>
  </si>
  <si>
    <t>6620014269</t>
  </si>
  <si>
    <t>26-01-2023 00:00:00</t>
  </si>
  <si>
    <t>31357312</t>
  </si>
  <si>
    <t>ООО "АМБ-групп"</t>
  </si>
  <si>
    <t>6639016140</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</si>
  <si>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</si>
  <si>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</si>
  <si>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</si>
  <si>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</si>
  <si>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</si>
  <si>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</si>
  <si>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</si>
  <si>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</si>
  <si>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</si>
  <si>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</si>
  <si>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</si>
  <si>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</si>
  <si>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</si>
  <si>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</si>
  <si>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30895171</t>
  </si>
  <si>
    <t>Общество с ограниченной ответственностью "Гарант", г. Талица</t>
  </si>
  <si>
    <t>6633023045</t>
  </si>
  <si>
    <t>11-07-2023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</si>
  <si>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</si>
  <si>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</si>
  <si>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</si>
  <si>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</si>
  <si>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</si>
  <si>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</si>
  <si>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</si>
  <si>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</si>
  <si>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</si>
  <si>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</si>
  <si>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</si>
  <si>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</si>
  <si>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</si>
  <si>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</si>
  <si>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</si>
  <si>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</si>
  <si>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</si>
  <si>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</si>
  <si>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</si>
  <si>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</si>
  <si>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</si>
  <si>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</si>
  <si>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</si>
  <si>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</si>
  <si>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</si>
  <si>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</si>
  <si>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</si>
  <si>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</si>
  <si>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</si>
  <si>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</si>
  <si>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</si>
  <si>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</si>
  <si>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</si>
  <si>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</si>
  <si>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</si>
  <si>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</si>
  <si>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</si>
  <si>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</si>
  <si>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</si>
  <si>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26382680</t>
  </si>
  <si>
    <t>Акционерное общество "Горвнешблагоустройство", г.Каменск-Уральский</t>
  </si>
  <si>
    <t>6612019658</t>
  </si>
  <si>
    <t>28796382</t>
  </si>
  <si>
    <t>Государственное унитарное предприятие Свердловской области "Свердловсквторресурсы", г. Первоуральск</t>
  </si>
  <si>
    <t>6625004673</t>
  </si>
  <si>
    <t>19-08-2014 00:00:00</t>
  </si>
  <si>
    <t>26382675</t>
  </si>
  <si>
    <t>Екатеринбургское муниципальное унитарное предприятие "Спецавтобаза", г.Екатеринбург</t>
  </si>
  <si>
    <t>6608003655</t>
  </si>
  <si>
    <t>26382676</t>
  </si>
  <si>
    <t>Индивидуальный предприниматель Костенко Владимир Викторович, г.Заречный</t>
  </si>
  <si>
    <t>660900028596</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</si>
  <si>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</si>
  <si>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</si>
  <si>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</si>
  <si>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</si>
  <si>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</si>
  <si>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</si>
  <si>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</si>
  <si>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</si>
  <si>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</si>
  <si>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</si>
  <si>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</si>
  <si>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26382671</t>
  </si>
  <si>
    <t>Муниципальное казенное предприятие "Вторресурсы" Асбестовского городского округа, г.Асбест</t>
  </si>
  <si>
    <t>6603013392</t>
  </si>
  <si>
    <t>26382709</t>
  </si>
  <si>
    <t>Муниципальное предприятие "Серовавтодор", г.Серов</t>
  </si>
  <si>
    <t>6632003575</t>
  </si>
  <si>
    <t>663201001</t>
  </si>
  <si>
    <t>28119594</t>
  </si>
  <si>
    <t>Муниципальное унитарное предприятие "Благоустройство", г. Богданович</t>
  </si>
  <si>
    <t>6605007940</t>
  </si>
  <si>
    <t>660501001</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</si>
  <si>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</si>
  <si>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</si>
  <si>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</si>
  <si>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</si>
  <si>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</si>
  <si>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</si>
  <si>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</si>
  <si>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26382710</t>
  </si>
  <si>
    <t>Муниципальное унитарное предприятие "Горкомхоз", г.Сухой Лог</t>
  </si>
  <si>
    <t>6633008760</t>
  </si>
  <si>
    <t>28535922</t>
  </si>
  <si>
    <t>Муниципальное унитарное предприятие "Ивдельское пассажирское автотранспортное предприятие", г. Ивдель</t>
  </si>
  <si>
    <t>6610000122</t>
  </si>
  <si>
    <t>24-06-2014 00:00:00</t>
  </si>
  <si>
    <t>26382706</t>
  </si>
  <si>
    <t>Муниципальное унитарное предприятие "Комбинат благоустройства", г.Лесной</t>
  </si>
  <si>
    <t>6630000138</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</si>
  <si>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</si>
  <si>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</si>
  <si>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</si>
  <si>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</si>
  <si>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</si>
  <si>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</si>
  <si>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26382705</t>
  </si>
  <si>
    <t>Муниципальное унитарное предприятие "Ритуал" г. Новоуральск</t>
  </si>
  <si>
    <t>6629015450</t>
  </si>
  <si>
    <t>26631732</t>
  </si>
  <si>
    <t>Муниципальное унитарное предприятие "Чистый город", г.Нижняя Салда</t>
  </si>
  <si>
    <t>6607013160</t>
  </si>
  <si>
    <t>26631848</t>
  </si>
  <si>
    <t>Муниципальное унитарное предприятие "Чистый город", г.Реж</t>
  </si>
  <si>
    <t>6628015426</t>
  </si>
  <si>
    <t>26648621</t>
  </si>
  <si>
    <t>Муниципальное унитарное предприятие Артинского городского округа "Уют-Сервис", п.Арти</t>
  </si>
  <si>
    <t>6646016574</t>
  </si>
  <si>
    <t>26631812</t>
  </si>
  <si>
    <t>Муниципальное унитарное предприятие городского округа Красноуфимск "Чистый город", г.Красноуфимск</t>
  </si>
  <si>
    <t>6619013535</t>
  </si>
  <si>
    <t>31524744</t>
  </si>
  <si>
    <t>ООО "ВТОРСБЫТ"</t>
  </si>
  <si>
    <t>6670487768</t>
  </si>
  <si>
    <t>31696506</t>
  </si>
  <si>
    <t>ООО "Вывоз отходов"</t>
  </si>
  <si>
    <t>1660098160</t>
  </si>
  <si>
    <t>31096007</t>
  </si>
  <si>
    <t>ООО "Компания "Рифей"</t>
  </si>
  <si>
    <t>7204189710</t>
  </si>
  <si>
    <t>30920163</t>
  </si>
  <si>
    <t>ООО "ПМ Технология", г.Екатеринбург</t>
  </si>
  <si>
    <t>6685033397</t>
  </si>
  <si>
    <t>31696224</t>
  </si>
  <si>
    <t>ООО "ППР компания"</t>
  </si>
  <si>
    <t>6671062782</t>
  </si>
  <si>
    <t>31438633</t>
  </si>
  <si>
    <t>ООО "Сухоложский полигон"</t>
  </si>
  <si>
    <t>6678102339</t>
  </si>
  <si>
    <t>30989599</t>
  </si>
  <si>
    <t>ООО "Уралвторма", г. Екатеринбург</t>
  </si>
  <si>
    <t>6671007380</t>
  </si>
  <si>
    <t>31050240</t>
  </si>
  <si>
    <t>ООО "Экос"</t>
  </si>
  <si>
    <t>6679002760</t>
  </si>
  <si>
    <t>31226941</t>
  </si>
  <si>
    <t>ООО "Экотехнопарк"</t>
  </si>
  <si>
    <t>6671082732</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</si>
  <si>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</si>
  <si>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</si>
  <si>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</si>
  <si>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</si>
  <si>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</si>
  <si>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</si>
  <si>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</si>
  <si>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</si>
  <si>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</si>
  <si>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</si>
  <si>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</si>
  <si>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</si>
  <si>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</si>
  <si>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</si>
  <si>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</si>
  <si>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</si>
  <si>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</si>
  <si>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</si>
  <si>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</si>
  <si>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</si>
  <si>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</si>
  <si>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</si>
  <si>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</si>
  <si>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</si>
  <si>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</si>
  <si>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</si>
  <si>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</si>
  <si>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</si>
  <si>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</si>
  <si>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</si>
  <si>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</si>
  <si>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</si>
  <si>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</si>
  <si>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</si>
  <si>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</si>
  <si>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</si>
  <si>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</si>
  <si>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</si>
  <si>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</si>
  <si>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</si>
  <si>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</si>
  <si>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</si>
  <si>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</si>
  <si>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</si>
  <si>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</si>
  <si>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</si>
  <si>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</si>
  <si>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</si>
  <si>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</si>
  <si>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</si>
  <si>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</si>
  <si>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</si>
  <si>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</si>
  <si>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</si>
  <si>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</si>
  <si>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</si>
  <si>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</si>
  <si>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</si>
  <si>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</si>
  <si>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</si>
  <si>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</si>
  <si>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</si>
  <si>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</si>
  <si>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</si>
  <si>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</si>
  <si>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</si>
  <si>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</si>
  <si>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</si>
  <si>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</si>
  <si>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</si>
  <si>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</si>
  <si>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</si>
  <si>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</si>
  <si>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</si>
  <si>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</si>
  <si>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</si>
  <si>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</si>
  <si>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</si>
  <si>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</si>
  <si>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</si>
  <si>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</si>
  <si>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</si>
  <si>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</si>
  <si>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</si>
  <si>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</si>
  <si>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</si>
  <si>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</si>
  <si>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</si>
  <si>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</si>
  <si>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</si>
  <si>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</si>
  <si>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</si>
  <si>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</si>
  <si>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</si>
  <si>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</si>
  <si>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</si>
  <si>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</si>
  <si>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</si>
  <si>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</si>
  <si>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</si>
  <si>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</si>
  <si>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</si>
  <si>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</si>
  <si>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</si>
  <si>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</si>
  <si>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</si>
  <si>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</si>
  <si>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</si>
  <si>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</si>
  <si>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</si>
  <si>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</si>
  <si>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</si>
  <si>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</si>
  <si>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</si>
  <si>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</si>
  <si>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</si>
  <si>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</si>
  <si>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</si>
  <si>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</si>
  <si>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</si>
  <si>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</si>
  <si>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</si>
  <si>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</si>
  <si>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</si>
  <si>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</si>
  <si>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</si>
  <si>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</si>
  <si>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</si>
  <si>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</si>
  <si>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</si>
  <si>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</si>
  <si>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</si>
  <si>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</si>
  <si>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</si>
  <si>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</si>
  <si>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</si>
  <si>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</si>
  <si>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</si>
  <si>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</si>
  <si>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</si>
  <si>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</si>
  <si>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</si>
  <si>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</si>
  <si>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</si>
  <si>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</si>
  <si>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</si>
  <si>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</si>
  <si>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</si>
  <si>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</si>
  <si>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</si>
  <si>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</si>
  <si>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</si>
  <si>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</si>
  <si>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</si>
  <si>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</si>
  <si>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</si>
  <si>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</si>
  <si>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</si>
  <si>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</si>
  <si>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</si>
  <si>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</si>
  <si>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</si>
  <si>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</si>
  <si>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</si>
  <si>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</si>
  <si>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</si>
  <si>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</si>
  <si>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</si>
  <si>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</si>
  <si>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</si>
  <si>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</si>
  <si>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</si>
  <si>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</si>
  <si>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</si>
  <si>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</si>
  <si>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</si>
  <si>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</si>
  <si>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</si>
  <si>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</si>
  <si>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</si>
  <si>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</si>
  <si>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</si>
  <si>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</si>
  <si>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</si>
  <si>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</si>
  <si>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</si>
  <si>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</si>
  <si>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</si>
  <si>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</si>
  <si>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</si>
  <si>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</si>
  <si>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</si>
  <si>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</si>
  <si>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</si>
  <si>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</si>
  <si>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</si>
  <si>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</si>
  <si>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</si>
  <si>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</si>
  <si>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</si>
  <si>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</si>
  <si>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</si>
  <si>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</si>
  <si>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</si>
  <si>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</si>
  <si>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</si>
  <si>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</si>
  <si>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</si>
  <si>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</si>
  <si>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</si>
  <si>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</si>
  <si>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</si>
  <si>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</si>
  <si>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Верх-Нейвинский</t>
  </si>
  <si>
    <t>65761000</t>
  </si>
  <si>
    <t>63</t>
  </si>
  <si>
    <t>городской округ Верхнее Дуброво</t>
  </si>
  <si>
    <t>65760000</t>
  </si>
  <si>
    <t>64</t>
  </si>
  <si>
    <t>городской округ Верхний Тагил</t>
  </si>
  <si>
    <t>65733000</t>
  </si>
  <si>
    <t>65</t>
  </si>
  <si>
    <t>городской округ Верхняя Пышма</t>
  </si>
  <si>
    <t>65732000</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</si>
  <si>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</si>
  <si>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</si>
  <si>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</si>
  <si>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</si>
  <si>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</si>
  <si>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</si>
  <si>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</si>
  <si>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</si>
  <si>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</si>
  <si>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</si>
  <si>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</si>
  <si>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</si>
  <si>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</si>
  <si>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</si>
  <si>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</si>
  <si>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</si>
  <si>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</si>
  <si>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</si>
  <si>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</si>
  <si>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</si>
  <si>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</si>
  <si>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</si>
  <si>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</si>
  <si>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</si>
  <si>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</si>
  <si>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</si>
  <si>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</si>
  <si>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</si>
  <si>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</si>
  <si>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Пелым</t>
  </si>
  <si>
    <t>65764000</t>
  </si>
  <si>
    <t>77</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</si>
  <si>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</si>
  <si>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</si>
  <si>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</si>
  <si>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</si>
  <si>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</si>
  <si>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</si>
  <si>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</si>
  <si>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</si>
  <si>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</si>
  <si>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</si>
  <si>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</si>
  <si>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</si>
  <si>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Староуткинск</t>
  </si>
  <si>
    <t>65766000</t>
  </si>
  <si>
    <t>82</t>
  </si>
  <si>
    <t>городской округ Сухой Лог</t>
  </si>
  <si>
    <t>65758000</t>
  </si>
  <si>
    <t>83</t>
  </si>
  <si>
    <t>муниципальное образование «поселок Уральский»</t>
  </si>
  <si>
    <t>65767000</t>
  </si>
  <si>
    <t>84</t>
  </si>
  <si>
    <t>муниципальное образование Алапаевское</t>
  </si>
  <si>
    <t>65771000</t>
  </si>
  <si>
    <t>85</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</si>
  <si>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</si>
  <si>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</si>
  <si>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</si>
  <si>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</si>
  <si>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</si>
  <si>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</si>
  <si>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</si>
  <si>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</si>
  <si>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</si>
  <si>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</si>
  <si>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</si>
  <si>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</si>
  <si>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</si>
  <si>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</si>
  <si>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</si>
  <si>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</si>
  <si>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</si>
  <si>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</si>
  <si>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</si>
  <si>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</si>
  <si>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</si>
  <si>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</si>
  <si>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</si>
  <si>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</si>
  <si>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Ирбит</t>
  </si>
  <si>
    <t>65739000</t>
  </si>
  <si>
    <t>95</t>
  </si>
  <si>
    <t>NUMBER_POINT</t>
  </si>
  <si>
    <t>L_NAME</t>
  </si>
  <si>
    <t>L_START_DATE</t>
  </si>
  <si>
    <t>L_END_DATE</t>
  </si>
  <si>
    <t>Инвестиционная программа № 236 от 19.05.2022 Общество с ограниченной ответственностью "Управляющая компания "Теплокомплекс", г. Каменск-Уральский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Каменск-Уральский на 2022-2044 годы</t>
  </si>
  <si>
    <t>19.05.2022</t>
  </si>
  <si>
    <t>31.12.2044</t>
  </si>
  <si>
    <t>Инвестиционная программа № 344 от 20.08.2021 Акционерное общество "Интер РАО-Электрогенерация" - филиал "Верхнетагильская ГРЭС" в сфере теплоснабжения по реконструкции тепловых сетей, на территории городского округа Верхний Тагил на 2022-2026 годы</t>
  </si>
  <si>
    <t>01.01.2022</t>
  </si>
  <si>
    <t>31.12.2026</t>
  </si>
  <si>
    <t>Инвестиционная программа № 364 от 13.09.2018 Публичное акционерное общество "Энел Россия", г.Москва - филиал Среднеуральская ГРЭС в сфере теплоснабжения по модернизации и реконструкции объектов, на территории городского округа Среднеуральск на 2019-2023 годы</t>
  </si>
  <si>
    <t>01.01.2019</t>
  </si>
  <si>
    <t>31.12.2023</t>
  </si>
  <si>
    <t>Инвестиционная программа № 372 от 20.09.2018 Публичное акционерное общество "Энел Россия", г.Москва - филиал Рефтинская ГРЭС в сфере теплоснабжения по модернизации и реконструкции объектов, на территории городского округа Рефтинский на 2019-2023 годы</t>
  </si>
  <si>
    <t>Инвестиционная программа № 388 от 13.08.2020 Акционерное общество "Акватех", г.Заречный в сфере теплоснабжения по строительству, реконструкции и модернизации систем инженерной инфраструктуры, на территории городского округа Заречный на 2021-2023 годы</t>
  </si>
  <si>
    <t>01.01.2021</t>
  </si>
  <si>
    <t>Инвестиционная программа № 416 от 10.09.2020 ОАО "ОТСК" в сфере теплоснабжения по строительству, реконструкции и модернизации систем инженерной инфраструктуры, на территории городского округа Кировградский на 2020-2025 годы</t>
  </si>
  <si>
    <t>10.09.2020</t>
  </si>
  <si>
    <t>31.12.2025</t>
  </si>
  <si>
    <t>Инвестиционная программа № 426 от 13.10.2021 Открытое акционерное общество "Полевская коммунальная компания", г.Полевской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2021-2025 годы</t>
  </si>
  <si>
    <t>13.10.2021</t>
  </si>
  <si>
    <t>Инвестиционная программа № 427 от 29.10.2019 Общество с ограниченной ответственностью "Управляющая компания "Теплокомплекс", г. Каменск-Уральский в сфере теплоснабжения по строительству, реконструкции и модернизации объектов, на территории городского округа Каменск-Уральский на 2020 год</t>
  </si>
  <si>
    <t>01.01.2020</t>
  </si>
  <si>
    <t>31.12.2020</t>
  </si>
  <si>
    <t>Инвестиционная программа № 428 от 13.10.2021 Открытое акционерное общество "Полевская коммунальная компания", г.Полевской в сфере теплоснабжения по развитию систем теплоснабжения на 2022 год</t>
  </si>
  <si>
    <t>31.12.2022</t>
  </si>
  <si>
    <t>Инвестиционная программа № 448 от 26.10.2021 Общество с ограниченной ответственностью "Управляющая компания "Теплокомплекс", г. Каменск-Уральский в сфере теплоснабжения по модернизации систем центрального теплоснабжения (за исключением тепловых сетей) на 2022-2025 годы</t>
  </si>
  <si>
    <t>Инвестиционная программа № 449 от 26.10.2021 Общество с ограниченной ответственностью "Управляющая компания "Теплокомплекс", г. Каменск-Уральский в сфере теплоснабжения по развитию систем теплоснабжения на 2022 год</t>
  </si>
  <si>
    <t>Инвестиционная программа № 469 от 29.10.2021 ФГАОУ ВО "Уральский федеральный университет имени первого Президента России Б.Н. Ельцина", г.Екатеринбург в сфере теплоснабжения по реконструкции систем теплоснабжения на 2022-2026 годы</t>
  </si>
  <si>
    <t>Инвестиционная программа № 470 от 23.09.2022 ООО "Полевская коммунальная компания Энерго" в сфере теплоснабжения по строительству, реконструкции и модернизации централизованных систем теплоснабжения, на территории городского округа Полевской на 2023-2049 годы</t>
  </si>
  <si>
    <t>01.01.2023</t>
  </si>
  <si>
    <t>31.12.2049</t>
  </si>
  <si>
    <t>Инвестиционная программа № 486 от 29.10.2020 Акционерное общество "Регионгаз-инвест", г.Екатеринбург - филиал Горноуральский городской округ в сфере теплоснабжения по строительству, реконструкции и модернизации систем инженерной инфраструктуры, на территории городского округа Горноуральский на 2021-2023 годы</t>
  </si>
  <si>
    <t>Инвестиционная программа № 491 от 15.11.2019 Закрытое акционерное общество "ТеплоСетевая Компания", г.Екатеринбург в сфере теплоснабжения по строительству, реконструкции и модернизации объектов, на территории городского округа муниципальное образование Екатеринбург на 2019-2021 годы</t>
  </si>
  <si>
    <t>15.11.2019</t>
  </si>
  <si>
    <t>31.12.2021</t>
  </si>
  <si>
    <t>Инвестиционная программа № 491 от 15.11.2019 Закрытое акционерное общество "ТеплоСетевая Компания", г.Екатеринбург в сфере теплоснабжения по строительству, реконструкции и модернизации объектов, на территории городского округа муниципальное образование Екатеринбург на 2019-2023 годы</t>
  </si>
  <si>
    <t>Инвестиционная программа № 491 от 30.10.2020 НТ МУП "Горэнерго-НТ" в сфере теплоснабжения и горячего водоснабжения по реконструкции объектов, на территории городского округа Нижний Тагил на 2021-2023 годы</t>
  </si>
  <si>
    <t>Инвестиционная программа № 495 от 18.11.2019 Публичное акционерное общество "Северский трубный завод", г. Полевской в сфере теплоснабжения по модернизации и реконструкции систем теплоснабжения, на территории городского округа Полевской на 2019-2020 годы</t>
  </si>
  <si>
    <t>18.11.2019</t>
  </si>
  <si>
    <t>Инвестиционная программа № 495 от 18.11.2019 Публичное акционерное общество "Северский трубный завод", г. Полевской в сфере теплоснабжения по строительству, реконструкции и модернизации объектов, на территории городского округа Полевской на 2019-2020 годы</t>
  </si>
  <si>
    <t>Инвестиционная программа № 495 от 18.11.2019 Публичное акционерное общество "Северский трубный завод", г. Полевской в сфере теплоэнергетического комплекса по строительству и оборудованию имущественного комплекса, на территории городского округа Полевской на 2019-2020 годы</t>
  </si>
  <si>
    <t>Инвестиционная программа № 495 от 30.10.2020 Муниципальное унитарное предприятие "Комэнергоресурс", г.Североуральск в сфере теплоснабжения по строительству, реконструкции и модернизации систем инженерной инфраструктуры, на территории городского округа Североуральский на 2021-2023 годы</t>
  </si>
  <si>
    <t>Инвестиционная программа № 496 от 30.10.2020 Акционерное общество "Регионгаз-инвест", г.Екатеринбург - филиал городской округ Красноуфимск в сфере теплоснабжения по строительству, реконструкции и модернизации систем инженерной инфраструктуры, на территории городского округа Красноуфимск на 2021-2033 годы</t>
  </si>
  <si>
    <t>31.12.2033</t>
  </si>
  <si>
    <t>Инвестиционная программа № 497 от 30.10.2020 Акционерное общество "Научно-производственное предприятие "Старт" им. А.И. Яскина, г. Екатеринбург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2021-2022 годы</t>
  </si>
  <si>
    <t>Инвестиционная программа № 497 от 30.10.2020 Акционерное общество "Научно-производственное предприятие "Старт" им. А.И. Яскина, г. Екатеринбург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2021-2023 годы</t>
  </si>
  <si>
    <t>Инвестиционная программа № 498 от 19.11.2019 Общество с ограниченной ответственностью "Свердловская теплоснабжающая компания", г.Екатеринбург в сфере теплоснабжения по строительству, реконструкции и модернизации объектов, на территории городского округа Первоуральск на 2019-2020 годы</t>
  </si>
  <si>
    <t>19.11.2019</t>
  </si>
  <si>
    <t>Инвестиционная программа № 499 от 19.11.2019 Акционерное общество "Региональные тепловые сети" в сфере теплоснабжения по строительству, реконструкции и модернизации объектов, на территории городского округа Лесной на 2019-2022 годы</t>
  </si>
  <si>
    <t>Инвестиционная программа № 500 от 19.11.2019 Акционерное общество "Екатеринбургская теплосетевая компания" в сфере теплоснабжения по строительству, реконструкции и модернизации объектов, на территории городского округа муниципальное образование Екатеринбург на 2019-2035 годы</t>
  </si>
  <si>
    <t>31.12.2035</t>
  </si>
  <si>
    <t>Инвестиционная программа № 501 от 19.11.2019 Филиал "Свердловский" ПАО "Т Плюс" в сфере теплоснабжения по строительству, реконструкции и модернизации объектов, на территории городского округа Нижнетуринский на 2019-2020 годы</t>
  </si>
  <si>
    <t>Инвестиционная программа № 501 от 19.11.2019 Филиал "Свердловский" ПАО "Т Плюс" в сфере теплоснабжения по строительству, реконструкции и модернизации объектов, на территории городского округа Первоуральск на 2019-2020 годы</t>
  </si>
  <si>
    <t>Инвестиционная программа № 501 от 19.11.2019 Филиал "Свердловский" ПАО "Т Плюс" в сфере теплоснабжения по строительству, реконструкции и модернизации объектов, на территории городского округа муниципальное образование Екатеринбург на 2019-2020 годы</t>
  </si>
  <si>
    <t>Инвестиционная программа № 503 от 19.11.2019 Открытое акционерное общество "Полевская коммунальная компания", г.Полевской в сфере теплоснабжения по модернизации и строительству объектов, на территории городского округа Полевской на 2019-2025 годы</t>
  </si>
  <si>
    <t>Инвестиционная программа № 504 от 19.11.2019 Публичное акционерное общество "Энел Россия", г.Москва - филиал Среднеуральская ГРЭС в сфере теплоснабжения по строительству, реконструкции и модернизации объектов, на территории городского округа Среднеуральск на 2019-2023 годы</t>
  </si>
  <si>
    <t>Инвестиционная программа № 508 от 18.11.2021 Публичное акционерное общество "Энел Россия", г.Москва - филиал Среднеуральская ГРЭС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Среднеуральск на 2021-2023 годы</t>
  </si>
  <si>
    <t>18.11.2021</t>
  </si>
  <si>
    <t>Инвестиционная программа № 509 от 18.11.2021 ФГАОУ ВО "Уральский федеральный университет имени первого Президента России Б.Н. Ельцина", г.Екатеринбург в сфере теплоснабжения по реконструкции и модернизации тепловых сетей на 2021 год</t>
  </si>
  <si>
    <t>Инвестиционная программа № 510 от 18.11.2021 Акционерное общество "Регионгаз-инвест", г.Екатеринбург - филиал Горноуральский городской округ в сфере теплоснабжения по реконструкции существующих объектов тепловых сетей, на территории городского округа Горноуральский на 2021-2023 годы</t>
  </si>
  <si>
    <t>Инвестиционная программа № 513 от 19.11.2019 Акционерное общество "Теплопрогресс", г.Среднеуральск в сфере теплоснабжения по строительству, реконструкции и модернизации объектов, на территории городского округа Среднеуральск на 2019-2023 годы</t>
  </si>
  <si>
    <t>Инвестиционная программа № 514 от 19.11.2021 Акционерное общество "Теплопрогресс", г.Среднеуральск в сфере теплоснабжения по реконструкции систем инженерной инфраструктуры, на территории городского округа Среднеуральск на 2021-2025 годы</t>
  </si>
  <si>
    <t>19.11.2021</t>
  </si>
  <si>
    <t>Инвестиционная программа № 515 от 19.11.2021 АО "ОТСК" в сфере теплоснабжения и горячего водоснабжения по модернизации и реконструкции объектов, на территории городского округа муниципальное образование Алапаевское на 2022-2024 годы</t>
  </si>
  <si>
    <t>31.12.2024</t>
  </si>
  <si>
    <t>Инвестиционная программа № 515 от 19.11.2021 ОАО "ОТСК" в сфере теплоснабжения по развитию систем теплоснабжения на 2021-2024 годы</t>
  </si>
  <si>
    <t>Инвестиционная программа № 516 от 19.11.2021 НТ МУП "Горэнерго-НТ" в сфере теплоснабжения по реконструкции существующих объектов тепловых сетей, на территории городского округа Нижний Тагил на 2021-2023 годы</t>
  </si>
  <si>
    <t>Инвестиционная программа № 516 от 19.11.2021 НТ МУП "Горэнерго-НТ" в сфере теплоснабжения по реконструкции существующих объектов тепловых сетей, на территории городского округа Нижний Тагил на 2021-2024 годы</t>
  </si>
  <si>
    <t>Инвестиционная программа № 517 от 19.11.2021 Акционерное общество "Научно-производственное предприятие "Старт" им. А.И. Яскина, г. Екатеринбург в сфере теплоснабжения по реконструкции и модернизации систем инженерной инфраструктуры, на территории городского округа муниципальное образование Екатеринбург на 2021-2029 годы</t>
  </si>
  <si>
    <t>31.12.2029</t>
  </si>
  <si>
    <t>Инвестиционная программа № 518 от 19.11.2021 Акционерное общество "Екатеринбургская теплосетевая компания"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2021-2035 годы</t>
  </si>
  <si>
    <t>Инвестиционная программа № 519 от 11.10.2022 Акционерное общество "ЕВРАЗ Нижнетагильский металлургический комбинат", г.Нижний Тагил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Нижний Тагил на 2023-2027 годы</t>
  </si>
  <si>
    <t>31.12.2027</t>
  </si>
  <si>
    <t>Инвестиционная программа № 519 от 19.11.2021 Филиал "Свердловский" ПАО "Т Плюс"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2021-2022 годы</t>
  </si>
  <si>
    <t>Инвестиционная программа № 519 от 19.11.2021 Филиал "Свердловский" ПАО "Т Плюс" в сфере теплоснабжения по реконструкции и модернизации систем инженерной инфраструктуры, на территории городского округа Первоуральск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</si>
  <si>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Лесной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</si>
  <si>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Нижнетуринский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</si>
  <si>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Первоуральск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</si>
  <si>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2021-2022 годы</t>
  </si>
  <si>
    <t>Инвестиционная программа № 524 от 18.11.2020 Акционерное общество "Теплопрогресс", г.Среднеуральск в сфере теплоснабжения по строительству, реконструкции и модернизации систем инженерной инфраструктуры, на территории городского округа Среднеуральск на 2020-2024 годы</t>
  </si>
  <si>
    <t>18.11.2020</t>
  </si>
  <si>
    <t>Инвестиционная программа № 525 от 18.11.2020 Акционерное общество "Северский трубный завод", г. 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2020-2023 годы</t>
  </si>
  <si>
    <t>Инвестиционная программа № 527 от 18.11.2020 Публичное акционерное общество "Энел Россия", г.Москва - филиал Среднеуральская ГРЭС в сфере теплоснабжения по строительству, реконструкции и модернизации систем инженерной инфраструктуры, на территории городского округа Среднеуральск на 2020-2023 годы</t>
  </si>
  <si>
    <t>Инвестиционная программа № 527 от 19.11.2020 Публичное акционерное общество "Энел Россия", г.Москва - филиал Среднеуральская ГРЭС в сфере теплоснабжения по строительству, реконструкции и модернизации систем инженерной инфраструктуры, на территории городского округа Среднеуральск на 2020-2023 годы</t>
  </si>
  <si>
    <t>19.11.2020</t>
  </si>
  <si>
    <t>Инвестиционная программа № 528 от 18.11.2020 Закрытое акционерное общество "ТеплоСетевая Компания", г.Екатеринбург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2020-2023 годы</t>
  </si>
  <si>
    <t>Инвестиционная программа № 533 от 19.11.2020 Открытое акционерное общество "Полевская коммунальная компания", г.Полевской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2020-2025 годы</t>
  </si>
  <si>
    <t>Инвестиционная программа № 534 от 19.11.2020 Акционерное общество "Региональные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Лесной на 2020-2023 годы</t>
  </si>
  <si>
    <t>Инвестиционная программа № 534 от 19.11.2020 Общество с ограниченной ответственностью "Свердловская теплоснабжающая компания", г.Екатеринбург в сфере теплоснабжения по строительству, реконструкции и модернизации систем инженерной инфраструктуры, на территории городского округа Первоуральск на 2020-2023 годы</t>
  </si>
  <si>
    <t>Инвестиционная программа № 535 от 19.11.2020 Акционерное общество "Екатеринбургская теплосетевая компания"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2020-2035 годы</t>
  </si>
  <si>
    <t>Инвестиционная программа № 536 от 19.11.2020 Филиал "Свердловский" ПАО "Т Плюс"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2020-2021 годы</t>
  </si>
  <si>
    <t>Инвестиционная программа № 536 от 19.11.2020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Нижнетуринский на 2020-2021 годы</t>
  </si>
  <si>
    <t>Инвестиционная программа № 536 от 19.11.2020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Первоуральск на 2020-2021 годы</t>
  </si>
  <si>
    <t>Инвестиционная программа № 536 от 19.11.2020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2020-2021 годы</t>
  </si>
  <si>
    <t>Инвестиционная программа № 537 от 18.11.2020 Публичное акционерное общество "Энел Россия", г.Москва - филиал Среднеуральская ГРЭС в сфере теплоснабжения по строительству, реконструкции и модернизации систем инженерной инфраструктуры, на территории городского округа Среднеуральск на 2020-2023 годы</t>
  </si>
  <si>
    <t>31.01.2023</t>
  </si>
  <si>
    <t>Инвестиционная программа № 552 от 24.10.2022 Акционерное общество "Русатом Инфраструктурные решения", Филиал в г. Новоуральск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Новоуральский на 2023-2025 годы</t>
  </si>
  <si>
    <t>Инвестиционная программа № 562 от 26.10.2022 Акционерное общество "Северский трубный завод", г. 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2022-2024 годы</t>
  </si>
  <si>
    <t>26.10.2022</t>
  </si>
  <si>
    <t>Инвестиционная программа № 589 от 03.11.2022 Общество с ограниченной ответственностью "Управляющая компания "Теплокомплекс", г. Каменск-Уральский в сфере теплоснабжения по модернизации систем центрального теплоснабжения (за исключением тепловых сетей), на территории городского округа Каменск-Уральский на 2022-2026 годы</t>
  </si>
  <si>
    <t>03.11.2022</t>
  </si>
  <si>
    <t>Инвестиционная программа № 590 от 03.11.2022 Общество с ограниченной ответственностью "Управляющая компания "Теплокомплекс", г. Каменск-Уральский в сфере теплоснабжения по развитию систем теплоснабжения, на территории городского округа Каменск-Уральский на 2022-2023 годы</t>
  </si>
  <si>
    <t>Инвестиционная программа № 598 от 09.11.2022 Акционерное общество "Теплопрогресс", г.Среднеуральск в сфере теплоснабжения по реконструкции систем инженерной инфраструктуры, на территории городского округа Среднеуральск на 2022-2025 годы</t>
  </si>
  <si>
    <t>09.11.2022</t>
  </si>
  <si>
    <t>Инвестиционная программа № 612 от 14.11.2022 Акционерное общество "Екатеринбургская теплосетевая компания"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2022-2035 годы</t>
  </si>
  <si>
    <t>14.11.2022</t>
  </si>
  <si>
    <t>Инвестиционная программа № 615 от 14.11.2022 Филиал "Свердловский" ПАО "Т Плюс"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2022-2023 годы</t>
  </si>
  <si>
    <t>Инвестиционная программа № 615 от 14.11.2022 Филиал "Свердловский" ПАО "Т Плюс" в сфере теплоснабжения по реконструкции и модернизации систем инженерной инфраструктуры, на территории городского округа Первоуральск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</si>
  <si>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Лесной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</si>
  <si>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Нижнетуринский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</si>
  <si>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Первоуральск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</si>
  <si>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2022-2023 годы</t>
  </si>
  <si>
    <t>Инвестиционная программа № 653 от 30.11.2022 Акционерное общество "Регионгаз-инвест", г.Екатеринбург - филиал городской округ Красноуфимск в сфере теплоснабжения по строительству, реконструкции и модернизации систем инженерной инфраструктуры, на территории городского округа Красноуфимск на 2022 год</t>
  </si>
  <si>
    <t>30.11.2022</t>
  </si>
  <si>
    <t>Инвестиционная программа № 653 от 30.11.2022 Акционерное общество "Регионгаз-инвест", г.Екатеринбург - филиал городской округ Красноуфимск в сфере теплоснабжения по строительству, реконструкции и модернизации систем инженерной инфраструктуры, на территории городского округа Красноуфимск на 2022-2033 годы</t>
  </si>
  <si>
    <t>Инвестиционная программа № 702 от 26.12.2022 Акционерное общество "Регионгаз-инвест", г.Екатеринбург - филиал Арамильский городской округ в сфере теплоснабжения по строительству, реконструкции и модернизации систем теплоснабжения, на территории городского округа Арамильский на 2022-2035 годы</t>
  </si>
  <si>
    <t>26.12.2022</t>
  </si>
  <si>
    <t>Инвестиционная программа № 704-РП от 01.08.2016 Акционерное общество "Регионгаз-инвест", г.Екатеринбург - филиал Туринский городской округ в сфере теплоснабжения по развитию, реконструкции и модернизации систем централизованных систем теплоснабжения, на территории городского округа Туринский на 2017-2023 годы</t>
  </si>
  <si>
    <t>01.01.2017</t>
  </si>
  <si>
    <t>Инвестиционная программа № 829 от 08.09.2016 Акционерное общество "Регионгаз-инвест", г.Екатеринбург - филиал муниципальное образование город Ирбит в сфере теплоснабжения по строительству, реконструкции и модернизации объектов, на территории городского округа Ирбитское муниципальное образование на 2017-2023 годы</t>
  </si>
  <si>
    <t>Инвестиционная программа № 829 от 08.09.2016 Акционерное общество "Регионгаз-инвест", г.Екатеринбург - филиал муниципальное образование город Ирбит в сфере теплоснабжения по строительству, реконструкции и модернизации объектов, на территории городского округа муниципальное образование Ирбит на 2016-2023 годы</t>
  </si>
  <si>
    <t>08.09.2016</t>
  </si>
  <si>
    <t>Инвестиционная программа № 932-РП от 11.10.2016 Акционерное общество "Регионгаз-инвест", г.Екатеринбург - филиал Михайловское муниципальное образование в сфере теплоснабжения по строительству котельных на 2017-2023 годы</t>
  </si>
  <si>
    <t>Инвестиционная программа АО "Екатеринбургская теплосетевая компания" в сфере теплоснабжения на 2018-2035 годы</t>
  </si>
  <si>
    <t>01.01.2018</t>
  </si>
  <si>
    <t>Инвестиционная программа АО "Екатеринбургская теплосетевая компания" город Екатеринбург по модернизации и реконструкции системы коммунальной инфраструктуры на 2017-2035 годы</t>
  </si>
  <si>
    <t>Инвестиционная программа АО "Региональные тепловые сети" в сфере теплоснабжения на территории города Лесной на 2018-2020 годы</t>
  </si>
  <si>
    <t>Инвестиционная программа АО "Региональные тепловые сети" в сфере теплоснабжения на территории города Лесной на 2018-2022 годы</t>
  </si>
  <si>
    <t>Инвестиционная программа АО "Регионгаз-инвест" по Муниципальному образованию город Ирбит на 2016-2022 годыРаспоряжение Правительства Свердловской области № 1131-РП от 28.10.2015 г.</t>
  </si>
  <si>
    <t>01.01.2016</t>
  </si>
  <si>
    <t>Инвестиционная программа АО "Регионгаз-инвест" по Пышминскому городскому округу на 2016-2022 годыРаспоряжение Правительства Свердловской области № 1131-РП от 28.10.2015 г.</t>
  </si>
  <si>
    <t>Инвестиционная программа АО "Регионгаз-инвест" по Талицкому городскому округу на 2016-2022 годыРаспоряжение Правительства Свердловской области № 1131-РП от 28.10.2015 г.</t>
  </si>
  <si>
    <t>Инвестиционная программа АО "Регионгаз-инвест" по по Нижнесергинскому муниципальному району на 2010-2022 годыРаспоряжение Правительства Свердловской области № 882-РП от 15.07.2010 г.</t>
  </si>
  <si>
    <t>01.01.2010</t>
  </si>
  <si>
    <t>Инвестиционная программа АО "Теплопрогресс" в сфере теплоснабжения на 2018-2021 годы</t>
  </si>
  <si>
    <t>Инвестиционная программа АО "Теплопрогресс" в сфере теплоснабжения на территории города Среднеуральск на 2017-2021 годы</t>
  </si>
  <si>
    <t>Инвестиционная программа ЗАО "ТеплоСетевая компания" в сфере теплоснабжения на территории города Екатеринбург на 2017-2021 годы</t>
  </si>
  <si>
    <t>Инвестиционная программа МУП "Водогрейная котельная" в сфере теплоснабжения на территории Новоуральского городского округа на 2017-2021 годы</t>
  </si>
  <si>
    <t>96</t>
  </si>
  <si>
    <t>Инвестиционная программа МУП ЖКХ "Сысертское" в сфере теплоснабжения на территории городского округа Сысертский на 2016-2020 годы</t>
  </si>
  <si>
    <t>97</t>
  </si>
  <si>
    <t>Инвестиционная программа МУП ЖКХ поселок Бобровсский в сфере теплоснабжения на территории городского округа Сысертский на 2014-2023 годы</t>
  </si>
  <si>
    <t>01.01.2014</t>
  </si>
  <si>
    <t>98</t>
  </si>
  <si>
    <t>Инвестиционная программа ОАО "Богдановическая генерирующая компания" в сфере теплоснабжения на территории города Богданович на 2015-2022 годы</t>
  </si>
  <si>
    <t>01.01.2015</t>
  </si>
  <si>
    <t>99</t>
  </si>
  <si>
    <t>Инвестиционная программа ОАО "Первоуральский динасовый завод" город Первоуральск в сфере теплоснабжения на территории города Первоуральск на 2017-2021 годы</t>
  </si>
  <si>
    <t>100</t>
  </si>
  <si>
    <t>Инвестиционная программа ОАО "Полевская коммунальная компания" в сфере теплоснабжения города Полевской на 2017-2025 годы</t>
  </si>
  <si>
    <t>101</t>
  </si>
  <si>
    <t>Инвестиционная программа ОАО "Свердловский инструментальный завод" в сфере теплоснабжения на территории города Екатеринбург на 2018-2030 годы</t>
  </si>
  <si>
    <t>31.12.2030</t>
  </si>
  <si>
    <t>102</t>
  </si>
  <si>
    <t>Инвестиционная программа ООО "Региональные коммунальные системы" в сфере теплоснабжения на территории города Верхняя Тура на 2015-2020 годы</t>
  </si>
  <si>
    <t>103</t>
  </si>
  <si>
    <t>Инвестиционная программа ФГАОУ ВО "УрФУ имени первого Президента России Б.Н. Ельцина" в сфере теплоснабжения на 2018-2021 годы</t>
  </si>
  <si>
    <t>104</t>
  </si>
  <si>
    <t>Инвестиционная программа в сфере теплоснабжения в части выработки тепловой энергии общества с ограниченной ответственностью "Энергокомплекс" (город Каменск-Уральский) на 2015-2022годы</t>
  </si>
  <si>
    <t>105</t>
  </si>
  <si>
    <t>Инвестиционная программа муниципального унитарного предприятия жилищно-коммунальных услуг Бисертского городского округа на 2014-2021 годы</t>
  </si>
  <si>
    <t>106</t>
  </si>
  <si>
    <t>Инвестиционная программа на 2016-2035 год</t>
  </si>
  <si>
    <t>07.09.2016</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</si>
  <si>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</si>
  <si>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</si>
  <si>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</si>
  <si>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</si>
  <si>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</si>
  <si>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</si>
  <si>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</si>
  <si>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</si>
  <si>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</si>
  <si>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</si>
  <si>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</si>
  <si>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</si>
  <si>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</si>
  <si>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</si>
  <si>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</si>
  <si>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</si>
  <si>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</si>
  <si>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</si>
  <si>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</si>
  <si>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</si>
  <si>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</si>
  <si>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</si>
  <si>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</si>
  <si>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</si>
  <si>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</si>
  <si>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</si>
  <si>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</si>
  <si>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</si>
  <si>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</si>
  <si>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</si>
  <si>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</si>
  <si>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</si>
  <si>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</si>
  <si>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</si>
  <si>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</si>
  <si>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</si>
  <si>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</si>
  <si>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</si>
  <si>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</si>
  <si>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</si>
  <si>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</si>
  <si>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</si>
  <si>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</si>
  <si>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</si>
  <si>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</si>
  <si>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</si>
  <si>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</si>
  <si>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</si>
  <si>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</si>
  <si>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</si>
  <si>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</si>
  <si>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</si>
  <si>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</si>
  <si>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</si>
  <si>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</si>
  <si>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</si>
  <si>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</si>
  <si>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</si>
  <si>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</si>
  <si>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</si>
  <si>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</si>
  <si>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</si>
  <si>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</si>
  <si>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</si>
  <si>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</si>
  <si>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</si>
  <si>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</si>
  <si>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</si>
  <si>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</si>
  <si>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</si>
  <si>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</si>
  <si>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</si>
  <si>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</si>
  <si>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</si>
  <si>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</si>
  <si>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</si>
  <si>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</si>
  <si>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</si>
  <si>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</si>
  <si>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</si>
  <si>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</si>
  <si>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</si>
  <si>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</si>
  <si>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</si>
  <si>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</si>
  <si>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</si>
  <si>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</si>
  <si>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</si>
  <si>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</si>
  <si>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</si>
  <si>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</si>
  <si>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</si>
  <si>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</si>
  <si>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</si>
  <si>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</si>
  <si>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</si>
  <si>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</si>
  <si>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</si>
  <si>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</si>
  <si>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</si>
  <si>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</si>
  <si>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</si>
  <si>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</si>
  <si>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</si>
  <si>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</si>
  <si>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</si>
  <si>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</si>
  <si>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</si>
  <si>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</si>
  <si>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</si>
  <si>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</si>
  <si>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</si>
  <si>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</si>
  <si>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</si>
  <si>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</si>
  <si>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</si>
  <si>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</si>
  <si>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</si>
  <si>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</si>
  <si>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</si>
  <si>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</si>
  <si>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</si>
  <si>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</si>
  <si>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</si>
  <si>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</si>
  <si>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</si>
  <si>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</si>
  <si>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</si>
  <si>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</si>
  <si>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</si>
  <si>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</si>
  <si>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</si>
  <si>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</si>
  <si>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</si>
  <si>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</si>
  <si>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</si>
  <si>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</si>
  <si>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</si>
  <si>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</si>
  <si>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</si>
  <si>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</si>
  <si>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</si>
  <si>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</si>
  <si>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</si>
  <si>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</si>
  <si>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</si>
  <si>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</si>
  <si>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</si>
  <si>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</si>
  <si>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</si>
  <si>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</si>
  <si>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</si>
  <si>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</si>
  <si>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</si>
  <si>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</si>
  <si>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</si>
  <si>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</si>
  <si>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</si>
  <si>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</si>
  <si>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</si>
  <si>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</si>
  <si>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</si>
  <si>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</si>
  <si>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</si>
  <si>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</si>
  <si>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</si>
  <si>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</si>
  <si>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</si>
  <si>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</si>
  <si>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</si>
  <si>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</si>
  <si>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</si>
  <si>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</si>
  <si>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</si>
  <si>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</si>
  <si>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</si>
  <si>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</si>
  <si>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</si>
  <si>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</si>
  <si>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</si>
  <si>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</si>
  <si>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</si>
  <si>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</si>
  <si>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</si>
  <si>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</si>
  <si>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</si>
  <si>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</si>
  <si>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</si>
  <si>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</si>
  <si>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</si>
  <si>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</si>
  <si>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</si>
  <si>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</si>
  <si>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</si>
  <si>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</si>
  <si>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</si>
  <si>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</si>
  <si>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</si>
  <si>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</si>
  <si>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4189702</t>
  </si>
</sst>
</file>

<file path=xl/styles.xml><?xml version="1.0" encoding="utf-8"?>
<styleSheet xmlns="http://schemas.openxmlformats.org/spreadsheetml/2006/main">
  <numFmts count="4">
    <numFmt numFmtId="164" formatCode="000000"/>
    <numFmt numFmtId="165" formatCode="#,##0.000"/>
    <numFmt numFmtId="166" formatCode="#,##0.0000"/>
    <numFmt numFmtId="167" formatCode="dd\.mm\.yyyy"/>
  </numFmts>
  <fonts count="89">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name val="Tahoma"/>
      <family val="2"/>
      <charset val="204"/>
    </font>
    <font>
      <sz val="3"/>
      <color rgb="FF0000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sz val="14"/>
      <color rgb="FFBCBCBC"/>
      <name val="Calibri"/>
      <family val="2"/>
      <charset val="204"/>
    </font>
    <font>
      <sz val="9"/>
      <color rgb="FF333399"/>
      <name val="Tahoma"/>
      <family val="2"/>
      <charset val="204"/>
    </font>
    <font>
      <b/>
      <sz val="8"/>
      <color rgb="FFC0C0C0"/>
      <name val="Wingdings 2"/>
      <family val="1"/>
      <charset val="2"/>
    </font>
    <font>
      <u/>
      <sz val="9"/>
      <color theme="10"/>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
      <sz val="9"/>
      <color rgb="FF000000"/>
      <name val="Tahoma"/>
      <family val="2"/>
      <charset val="204"/>
    </font>
  </fonts>
  <fills count="26">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EAEBEE"/>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2">
    <xf numFmtId="49" fontId="0" fillId="0" borderId="0" applyFill="0" applyBorder="0">
      <alignment vertical="top"/>
    </xf>
    <xf numFmtId="49" fontId="88" fillId="0" borderId="0" applyFill="0" applyBorder="0">
      <alignment vertical="top"/>
    </xf>
  </cellStyleXfs>
  <cellXfs count="2403">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4" fillId="6" borderId="0" xfId="0" applyNumberFormat="1" applyFont="1" applyFill="1" applyAlignment="1">
      <alignment horizontal="center" vertical="center" wrapText="1"/>
    </xf>
    <xf numFmtId="49" fontId="0" fillId="0" borderId="0" xfId="0" applyNumberFormat="1" applyFont="1">
      <alignment vertical="top"/>
    </xf>
    <xf numFmtId="0" fontId="5" fillId="6" borderId="0" xfId="0" applyNumberFormat="1" applyFont="1" applyFill="1" applyAlignment="1">
      <alignment horizontal="center" vertical="center" wrapText="1"/>
    </xf>
    <xf numFmtId="0" fontId="5" fillId="6" borderId="0" xfId="0" applyNumberFormat="1" applyFont="1" applyFill="1" applyAlignment="1">
      <alignment horizontal="center" vertical="center"/>
    </xf>
    <xf numFmtId="49" fontId="6" fillId="0" borderId="2" xfId="0" applyNumberFormat="1" applyFont="1" applyBorder="1" applyAlignment="1">
      <alignment vertical="top" wrapText="1"/>
    </xf>
    <xf numFmtId="0" fontId="0" fillId="0" borderId="2" xfId="0" applyNumberFormat="1" applyFont="1" applyBorder="1" applyAlignment="1">
      <alignment vertical="top" wrapText="1"/>
    </xf>
    <xf numFmtId="0" fontId="7" fillId="0" borderId="0" xfId="0" applyNumberFormat="1" applyFont="1" applyAlignment="1"/>
    <xf numFmtId="0" fontId="2" fillId="6" borderId="0" xfId="0" applyNumberFormat="1" applyFont="1" applyFill="1" applyAlignment="1">
      <alignment horizontal="center" vertical="center" wrapText="1"/>
    </xf>
    <xf numFmtId="0" fontId="8" fillId="6" borderId="0" xfId="0" applyNumberFormat="1" applyFont="1" applyFill="1" applyAlignment="1">
      <alignmen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5"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2"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5"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3" fillId="8" borderId="6" xfId="0" applyNumberFormat="1" applyFont="1" applyFill="1" applyBorder="1" applyAlignment="1">
      <alignment horizontal="center" vertical="top"/>
    </xf>
    <xf numFmtId="49" fontId="9" fillId="8" borderId="6" xfId="0" applyNumberFormat="1" applyFont="1" applyFill="1" applyBorder="1" applyAlignment="1">
      <alignment horizontal="left" vertical="center"/>
    </xf>
    <xf numFmtId="0" fontId="10" fillId="0" borderId="0" xfId="0" applyNumberFormat="1" applyFont="1" applyAlignment="1">
      <alignment vertical="center"/>
    </xf>
    <xf numFmtId="0" fontId="5" fillId="6" borderId="0" xfId="0" applyNumberFormat="1" applyFont="1" applyFill="1" applyAlignment="1">
      <alignment horizontal="center" vertical="center" wrapText="1"/>
    </xf>
    <xf numFmtId="49" fontId="14" fillId="0" borderId="0" xfId="0" applyNumberFormat="1" applyFont="1" applyAlignment="1">
      <alignment horizontal="right" vertical="top"/>
    </xf>
    <xf numFmtId="49" fontId="14"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5" fillId="0" borderId="0" xfId="0" applyNumberFormat="1" applyFont="1" applyAlignment="1">
      <alignment vertical="center" wrapText="1"/>
    </xf>
    <xf numFmtId="49" fontId="2" fillId="0" borderId="7" xfId="0" applyNumberFormat="1" applyFont="1" applyBorder="1">
      <alignment vertical="top"/>
    </xf>
    <xf numFmtId="49" fontId="16" fillId="0" borderId="0" xfId="0" applyNumberFormat="1" applyFont="1">
      <alignment vertical="top"/>
    </xf>
    <xf numFmtId="0" fontId="16"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18" fillId="0" borderId="0" xfId="0" applyNumberFormat="1" applyFont="1" applyAlignment="1">
      <alignment vertical="center"/>
    </xf>
    <xf numFmtId="0" fontId="17" fillId="0" borderId="0" xfId="0" applyNumberFormat="1" applyFont="1" applyAlignment="1">
      <alignment vertical="center"/>
    </xf>
    <xf numFmtId="0" fontId="17"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5"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6"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6" fillId="8" borderId="10" xfId="0" applyNumberFormat="1" applyFont="1" applyFill="1" applyBorder="1" applyAlignment="1">
      <alignment horizontal="left" vertical="center" wrapText="1"/>
    </xf>
    <xf numFmtId="49" fontId="16" fillId="8" borderId="11" xfId="0" applyNumberFormat="1" applyFont="1" applyFill="1" applyBorder="1" applyAlignment="1">
      <alignment horizontal="left" vertical="center" wrapText="1"/>
    </xf>
    <xf numFmtId="0" fontId="4" fillId="0" borderId="0" xfId="0" applyNumberFormat="1" applyFont="1" applyAlignment="1">
      <alignment horizontal="center" vertical="center" wrapText="1"/>
    </xf>
    <xf numFmtId="49" fontId="19"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horizontal="center" vertical="center" wrapText="1"/>
    </xf>
    <xf numFmtId="49" fontId="0" fillId="6" borderId="0" xfId="0" applyNumberFormat="1" applyFont="1" applyFill="1">
      <alignment vertical="top"/>
    </xf>
    <xf numFmtId="49" fontId="21" fillId="9" borderId="0" xfId="0" applyNumberFormat="1" applyFont="1" applyFill="1">
      <alignment vertical="top"/>
    </xf>
    <xf numFmtId="49" fontId="21" fillId="0" borderId="0" xfId="0" applyNumberFormat="1" applyFont="1">
      <alignment vertical="top"/>
    </xf>
    <xf numFmtId="0" fontId="16"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19" fillId="0" borderId="2" xfId="0" applyNumberFormat="1" applyFont="1" applyBorder="1" applyAlignment="1">
      <alignment vertical="center" wrapText="1"/>
    </xf>
    <xf numFmtId="0" fontId="15"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17"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9" fillId="8" borderId="6" xfId="0" applyNumberFormat="1" applyFont="1" applyFill="1" applyBorder="1" applyAlignment="1">
      <alignment horizontal="left" vertical="center" indent="3"/>
    </xf>
    <xf numFmtId="49" fontId="13" fillId="8" borderId="4" xfId="0" applyNumberFormat="1" applyFont="1" applyFill="1" applyBorder="1" applyAlignment="1">
      <alignment horizontal="center" vertical="top"/>
    </xf>
    <xf numFmtId="0" fontId="15" fillId="0" borderId="0" xfId="0" applyNumberFormat="1" applyFont="1" applyAlignment="1">
      <alignment horizontal="right" vertical="top" wrapText="1"/>
    </xf>
    <xf numFmtId="49" fontId="9" fillId="8" borderId="6" xfId="0" applyNumberFormat="1" applyFont="1" applyFill="1" applyBorder="1" applyAlignment="1">
      <alignment horizontal="left" vertical="center" indent="1"/>
    </xf>
    <xf numFmtId="49" fontId="9"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5" fillId="0" borderId="0" xfId="0" applyNumberFormat="1" applyFont="1" applyAlignment="1">
      <alignment horizontal="center" vertical="center" wrapText="1"/>
    </xf>
    <xf numFmtId="49" fontId="0" fillId="0" borderId="8" xfId="0" applyNumberFormat="1" applyFont="1" applyBorder="1">
      <alignment vertical="top"/>
    </xf>
    <xf numFmtId="0" fontId="17" fillId="0" borderId="0" xfId="0" applyNumberFormat="1" applyFont="1" applyAlignment="1">
      <alignment vertical="center"/>
    </xf>
    <xf numFmtId="0" fontId="22" fillId="0" borderId="0" xfId="0" applyNumberFormat="1" applyFont="1" applyAlignment="1">
      <alignment vertical="center"/>
    </xf>
    <xf numFmtId="49" fontId="23" fillId="10"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center" vertical="top"/>
    </xf>
    <xf numFmtId="0" fontId="2" fillId="0" borderId="3" xfId="0" applyNumberFormat="1" applyFont="1" applyBorder="1" applyAlignment="1">
      <alignment horizontal="center" vertical="center" wrapText="1"/>
    </xf>
    <xf numFmtId="0" fontId="15" fillId="0" borderId="0" xfId="0" applyNumberFormat="1" applyFont="1" applyAlignment="1">
      <alignment vertical="center" wrapText="1"/>
    </xf>
    <xf numFmtId="0" fontId="1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4" fillId="0" borderId="6" xfId="0" applyNumberFormat="1" applyFont="1" applyBorder="1" applyAlignment="1">
      <alignment horizontal="center" vertical="center" wrapText="1"/>
    </xf>
    <xf numFmtId="0" fontId="24" fillId="0" borderId="0" xfId="0" applyNumberFormat="1" applyFont="1" applyAlignment="1">
      <alignment vertical="center"/>
    </xf>
    <xf numFmtId="0" fontId="25" fillId="0" borderId="0" xfId="0" applyNumberFormat="1" applyFont="1" applyAlignment="1">
      <alignment vertical="center"/>
    </xf>
    <xf numFmtId="0" fontId="17" fillId="0" borderId="0" xfId="0" applyNumberFormat="1" applyFont="1" applyAlignment="1">
      <alignment vertical="center"/>
    </xf>
    <xf numFmtId="0" fontId="17" fillId="0" borderId="0" xfId="0" applyNumberFormat="1" applyFont="1" applyAlignment="1">
      <alignment horizontal="left" vertical="center" wrapText="1" indent="1"/>
    </xf>
    <xf numFmtId="0" fontId="16" fillId="0" borderId="0" xfId="0" applyNumberFormat="1" applyFont="1" applyAlignment="1">
      <alignment horizontal="left" vertical="center" wrapText="1" indent="1"/>
    </xf>
    <xf numFmtId="0" fontId="26" fillId="0" borderId="0" xfId="0" applyNumberFormat="1" applyFont="1" applyAlignment="1">
      <alignment horizontal="left" vertical="center" wrapText="1" indent="1"/>
    </xf>
    <xf numFmtId="0" fontId="27" fillId="0" borderId="0" xfId="0" applyNumberFormat="1" applyFont="1" applyAlignment="1">
      <alignment horizontal="left" vertical="center" indent="1"/>
    </xf>
    <xf numFmtId="0" fontId="17" fillId="0" borderId="0" xfId="0" applyNumberFormat="1" applyFont="1" applyAlignment="1">
      <alignment horizontal="left" vertical="center" indent="1"/>
    </xf>
    <xf numFmtId="0" fontId="17" fillId="0" borderId="0" xfId="0" applyNumberFormat="1" applyFont="1" applyAlignment="1">
      <alignment horizontal="left" vertical="center" indent="1"/>
    </xf>
    <xf numFmtId="0" fontId="17"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19" fillId="8" borderId="5" xfId="0" applyNumberFormat="1" applyFont="1" applyFill="1" applyBorder="1" applyAlignment="1">
      <alignment horizontal="center" vertical="center"/>
    </xf>
    <xf numFmtId="49" fontId="9" fillId="8" borderId="4" xfId="0" applyNumberFormat="1" applyFont="1" applyFill="1" applyBorder="1" applyAlignment="1">
      <alignment horizontal="left" vertical="center"/>
    </xf>
    <xf numFmtId="0" fontId="32" fillId="0" borderId="0" xfId="0" applyNumberFormat="1" applyFont="1" applyAlignment="1">
      <alignment vertical="center" wrapText="1"/>
    </xf>
    <xf numFmtId="0" fontId="32" fillId="0" borderId="0" xfId="0" applyNumberFormat="1" applyFont="1" applyAlignment="1">
      <alignment vertical="center" wrapText="1"/>
    </xf>
    <xf numFmtId="0" fontId="32" fillId="0" borderId="0" xfId="0" applyNumberFormat="1" applyFont="1" applyAlignment="1"/>
    <xf numFmtId="49" fontId="33" fillId="0" borderId="0" xfId="0" applyNumberFormat="1" applyFont="1">
      <alignment vertical="top"/>
    </xf>
    <xf numFmtId="0" fontId="17" fillId="0" borderId="0" xfId="0" applyNumberFormat="1" applyFont="1">
      <alignment vertical="top"/>
    </xf>
    <xf numFmtId="49" fontId="17"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17" fillId="0" borderId="0" xfId="0" applyNumberFormat="1" applyFont="1" applyAlignment="1">
      <alignment vertical="center"/>
    </xf>
    <xf numFmtId="0" fontId="15"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17"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35" fillId="0" borderId="0" xfId="0" applyNumberFormat="1" applyFont="1" applyAlignment="1">
      <alignment vertical="center"/>
    </xf>
    <xf numFmtId="49" fontId="4"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9" fillId="8" borderId="6" xfId="0" applyNumberFormat="1" applyFont="1" applyFill="1" applyBorder="1" applyAlignment="1">
      <alignment horizontal="left" vertical="center" indent="5"/>
    </xf>
    <xf numFmtId="49" fontId="9"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5" fillId="0" borderId="0" xfId="0" applyNumberFormat="1" applyFont="1" applyAlignment="1">
      <alignment vertical="center" wrapText="1"/>
    </xf>
    <xf numFmtId="0" fontId="36"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9"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34"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8" fillId="6" borderId="0" xfId="0" applyNumberFormat="1" applyFont="1" applyFill="1" applyAlignment="1">
      <alignment vertical="center" wrapText="1"/>
    </xf>
    <xf numFmtId="49" fontId="37"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9" fillId="8" borderId="5" xfId="0" applyNumberFormat="1" applyFont="1" applyFill="1" applyBorder="1" applyAlignment="1">
      <alignment vertical="center" wrapText="1"/>
    </xf>
    <xf numFmtId="49" fontId="9" fillId="8" borderId="6" xfId="0" applyNumberFormat="1" applyFont="1" applyFill="1" applyBorder="1" applyAlignment="1">
      <alignment vertical="center"/>
    </xf>
    <xf numFmtId="49" fontId="9"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9"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9" fillId="8" borderId="5" xfId="0" applyNumberFormat="1" applyFont="1" applyFill="1" applyBorder="1" applyAlignment="1">
      <alignment horizontal="left" vertical="center"/>
    </xf>
    <xf numFmtId="0" fontId="9" fillId="8" borderId="6" xfId="0" applyNumberFormat="1" applyFont="1" applyFill="1" applyBorder="1" applyAlignment="1">
      <alignment horizontal="left" vertical="center"/>
    </xf>
    <xf numFmtId="0" fontId="9"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19" fillId="6" borderId="0" xfId="0" applyNumberFormat="1" applyFont="1" applyFill="1" applyAlignment="1">
      <alignment horizontal="center" vertical="center" wrapText="1"/>
    </xf>
    <xf numFmtId="49" fontId="37"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17"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38" fillId="0" borderId="5" xfId="0" applyNumberFormat="1" applyFont="1" applyBorder="1" applyAlignment="1">
      <alignment horizontal="left" vertical="center" wrapText="1"/>
    </xf>
    <xf numFmtId="0" fontId="34" fillId="0" borderId="3" xfId="0" applyNumberFormat="1" applyFont="1" applyBorder="1" applyAlignment="1">
      <alignment horizontal="left" vertical="center" wrapText="1" indent="2"/>
    </xf>
    <xf numFmtId="49" fontId="34" fillId="0" borderId="3" xfId="0" applyNumberFormat="1" applyFont="1" applyBorder="1" applyAlignment="1">
      <alignment horizontal="center" vertical="center" wrapText="1"/>
    </xf>
    <xf numFmtId="0" fontId="39"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3"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8"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9" fillId="8" borderId="6" xfId="0" applyNumberFormat="1" applyFont="1" applyFill="1" applyBorder="1" applyAlignment="1">
      <alignment horizontal="left" vertical="center" indent="2"/>
    </xf>
    <xf numFmtId="0" fontId="17" fillId="0" borderId="0" xfId="0" applyNumberFormat="1" applyFont="1" applyAlignment="1">
      <alignment vertical="center"/>
    </xf>
    <xf numFmtId="0" fontId="40" fillId="0" borderId="0" xfId="0" applyNumberFormat="1" applyFont="1" applyAlignment="1">
      <alignment vertical="center" wrapText="1"/>
    </xf>
    <xf numFmtId="0" fontId="11"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5" fillId="0" borderId="0" xfId="0" applyNumberFormat="1" applyFont="1" applyAlignment="1">
      <alignment vertical="center" wrapText="1"/>
    </xf>
    <xf numFmtId="49" fontId="2" fillId="0" borderId="15" xfId="0" applyNumberFormat="1" applyFont="1" applyBorder="1">
      <alignment vertical="top"/>
    </xf>
    <xf numFmtId="0" fontId="17" fillId="0" borderId="15" xfId="0" applyNumberFormat="1" applyFont="1" applyBorder="1" applyAlignment="1">
      <alignment horizontal="center" vertical="center" wrapText="1"/>
    </xf>
    <xf numFmtId="0" fontId="17"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9" fillId="8" borderId="6" xfId="0" applyNumberFormat="1" applyFont="1" applyFill="1" applyBorder="1" applyAlignment="1">
      <alignment horizontal="left" vertical="center" indent="2"/>
    </xf>
    <xf numFmtId="49" fontId="9"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17"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9"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8" fillId="0" borderId="0" xfId="0" applyNumberFormat="1" applyFont="1">
      <alignment vertical="top"/>
    </xf>
    <xf numFmtId="0" fontId="8"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17" fillId="0" borderId="0" xfId="0" applyNumberFormat="1" applyFont="1">
      <alignment vertical="top"/>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3"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3"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5"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49" fontId="9"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39"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9" fillId="8" borderId="17" xfId="0" applyNumberFormat="1" applyFont="1" applyFill="1" applyBorder="1" applyAlignment="1">
      <alignment horizontal="left" vertical="center" indent="2"/>
    </xf>
    <xf numFmtId="49" fontId="23"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37" fillId="8" borderId="4" xfId="0" applyNumberFormat="1" applyFont="1" applyFill="1" applyBorder="1" applyAlignment="1">
      <alignment horizontal="left" vertical="center" indent="1"/>
    </xf>
    <xf numFmtId="49" fontId="37" fillId="8" borderId="6" xfId="0" applyNumberFormat="1" applyFont="1" applyFill="1" applyBorder="1" applyAlignment="1">
      <alignment horizontal="left" vertical="center" indent="1"/>
    </xf>
    <xf numFmtId="49" fontId="19" fillId="8" borderId="5" xfId="0" applyNumberFormat="1" applyFont="1" applyFill="1" applyBorder="1" applyAlignment="1">
      <alignment horizontal="center" vertical="center"/>
    </xf>
    <xf numFmtId="49" fontId="37"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9" fillId="8" borderId="6" xfId="0" applyNumberFormat="1" applyFont="1" applyFill="1" applyBorder="1" applyAlignment="1">
      <alignment horizontal="left" vertical="center" indent="1"/>
    </xf>
    <xf numFmtId="49" fontId="9" fillId="8" borderId="6" xfId="0" applyNumberFormat="1" applyFont="1" applyFill="1" applyBorder="1" applyAlignment="1">
      <alignment horizontal="left" vertical="center"/>
    </xf>
    <xf numFmtId="0" fontId="16" fillId="0" borderId="0" xfId="0" applyNumberFormat="1" applyFont="1" applyAlignment="1">
      <alignment vertical="center" wrapText="1"/>
    </xf>
    <xf numFmtId="49" fontId="17" fillId="0" borderId="0" xfId="0" applyNumberFormat="1" applyFont="1">
      <alignment vertical="top"/>
    </xf>
    <xf numFmtId="0" fontId="41" fillId="0" borderId="0" xfId="0" applyNumberFormat="1" applyFont="1" applyAlignment="1">
      <alignment vertical="center" wrapText="1"/>
    </xf>
    <xf numFmtId="49" fontId="19" fillId="8" borderId="5" xfId="0" applyNumberFormat="1" applyFont="1" applyFill="1" applyBorder="1" applyAlignment="1">
      <alignment horizontal="right" vertical="center" wrapText="1"/>
    </xf>
    <xf numFmtId="49" fontId="16"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4" fillId="6" borderId="0" xfId="0" applyNumberFormat="1" applyFont="1" applyFill="1" applyAlignment="1">
      <alignment horizontal="center" vertical="center" wrapText="1"/>
    </xf>
    <xf numFmtId="0" fontId="5"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15" fillId="0" borderId="0" xfId="0" applyNumberFormat="1" applyFont="1" applyAlignment="1">
      <alignment horizontal="center" vertical="center" wrapText="1"/>
    </xf>
    <xf numFmtId="0" fontId="14" fillId="0" borderId="0" xfId="0" applyNumberFormat="1" applyFont="1" applyAlignment="1">
      <alignment vertical="center" wrapText="1"/>
    </xf>
    <xf numFmtId="0" fontId="2" fillId="6" borderId="0" xfId="0" applyNumberFormat="1" applyFont="1" applyFill="1" applyAlignment="1">
      <alignment vertical="center" wrapText="1"/>
    </xf>
    <xf numFmtId="0" fontId="42" fillId="6" borderId="0" xfId="0" applyNumberFormat="1" applyFont="1" applyFill="1" applyAlignment="1">
      <alignment horizontal="center"/>
    </xf>
    <xf numFmtId="0" fontId="42" fillId="6" borderId="0" xfId="0" applyNumberFormat="1" applyFont="1" applyFill="1" applyAlignment="1"/>
    <xf numFmtId="0" fontId="44" fillId="6" borderId="0" xfId="0" applyNumberFormat="1" applyFont="1" applyFill="1" applyAlignment="1">
      <alignment horizontal="right" vertical="center"/>
    </xf>
    <xf numFmtId="0" fontId="44"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4"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4" fillId="0" borderId="0" xfId="0" applyNumberFormat="1" applyFont="1" applyAlignment="1">
      <alignment vertical="top" wrapText="1"/>
    </xf>
    <xf numFmtId="0" fontId="2" fillId="8" borderId="5" xfId="0" applyNumberFormat="1" applyFont="1" applyFill="1" applyBorder="1" applyAlignment="1">
      <alignment horizontal="center"/>
    </xf>
    <xf numFmtId="0" fontId="37" fillId="8" borderId="6" xfId="0" applyNumberFormat="1" applyFont="1" applyFill="1" applyBorder="1" applyAlignment="1">
      <alignment horizontal="left" vertical="center"/>
    </xf>
    <xf numFmtId="0" fontId="37" fillId="8" borderId="4" xfId="0" applyNumberFormat="1" applyFont="1" applyFill="1" applyBorder="1" applyAlignment="1">
      <alignment horizontal="left" vertical="center"/>
    </xf>
    <xf numFmtId="0" fontId="45" fillId="6" borderId="0" xfId="0" applyNumberFormat="1" applyFont="1" applyFill="1" applyAlignment="1">
      <alignment vertical="center"/>
    </xf>
    <xf numFmtId="0" fontId="45"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3" fillId="6" borderId="0" xfId="0" applyNumberFormat="1" applyFont="1" applyFill="1" applyAlignment="1"/>
    <xf numFmtId="0" fontId="21" fillId="6" borderId="0" xfId="0" applyNumberFormat="1" applyFont="1" applyFill="1" applyAlignment="1"/>
    <xf numFmtId="0" fontId="30" fillId="6" borderId="0" xfId="0" applyNumberFormat="1" applyFont="1" applyFill="1" applyAlignment="1">
      <alignment horizontal="center"/>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29" fillId="6" borderId="0" xfId="0" applyNumberFormat="1" applyFont="1" applyFill="1" applyAlignment="1">
      <alignment vertical="center" wrapText="1"/>
    </xf>
    <xf numFmtId="0" fontId="29" fillId="6" borderId="0" xfId="0" applyNumberFormat="1" applyFont="1" applyFill="1" applyAlignment="1">
      <alignment horizontal="right" vertical="center"/>
    </xf>
    <xf numFmtId="0" fontId="29" fillId="6" borderId="0" xfId="0" applyNumberFormat="1" applyFont="1" applyFill="1" applyAlignment="1">
      <alignment horizontal="right" vertical="center" wrapText="1"/>
    </xf>
    <xf numFmtId="4" fontId="29" fillId="0" borderId="0" xfId="0" applyNumberFormat="1" applyFont="1" applyAlignment="1">
      <alignment horizontal="right" vertical="center" wrapText="1"/>
    </xf>
    <xf numFmtId="0" fontId="29" fillId="0" borderId="0" xfId="0" applyNumberFormat="1" applyFont="1" applyAlignment="1">
      <alignment horizontal="left" vertical="center" wrapText="1" indent="1"/>
    </xf>
    <xf numFmtId="0" fontId="46" fillId="6" borderId="0" xfId="0" applyNumberFormat="1" applyFont="1" applyFill="1" applyAlignment="1">
      <alignment horizontal="center" vertical="center" wrapText="1"/>
    </xf>
    <xf numFmtId="0" fontId="4" fillId="6" borderId="0" xfId="0" applyNumberFormat="1" applyFont="1" applyFill="1" applyAlignment="1">
      <alignment horizontal="center" vertical="center" wrapText="1"/>
    </xf>
    <xf numFmtId="0" fontId="32" fillId="0" borderId="0" xfId="0" applyNumberFormat="1" applyFont="1" applyAlignment="1">
      <alignment vertical="center" wrapText="1"/>
    </xf>
    <xf numFmtId="0" fontId="17"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2"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4" fillId="6" borderId="6" xfId="0" applyNumberFormat="1" applyFont="1" applyFill="1" applyBorder="1" applyAlignment="1">
      <alignment horizontal="center" vertical="center" wrapText="1"/>
    </xf>
    <xf numFmtId="0" fontId="17" fillId="0" borderId="0" xfId="0" applyNumberFormat="1" applyFont="1" applyAlignment="1">
      <alignment horizontal="center" vertical="center" wrapText="1"/>
    </xf>
    <xf numFmtId="0" fontId="46" fillId="0" borderId="0" xfId="0" applyNumberFormat="1" applyFont="1" applyAlignment="1">
      <alignment horizontal="center" vertical="center" wrapText="1"/>
    </xf>
    <xf numFmtId="0" fontId="40" fillId="0" borderId="0" xfId="0" applyNumberFormat="1" applyFont="1" applyAlignment="1">
      <alignment vertical="center" wrapText="1"/>
    </xf>
    <xf numFmtId="49" fontId="40" fillId="0" borderId="3" xfId="0" applyNumberFormat="1" applyFont="1" applyBorder="1" applyAlignment="1">
      <alignment horizontal="left" vertical="center" wrapText="1"/>
    </xf>
    <xf numFmtId="0" fontId="47" fillId="6" borderId="0" xfId="0" applyNumberFormat="1" applyFont="1" applyFill="1" applyAlignment="1">
      <alignment horizontal="center" vertical="center" wrapText="1"/>
    </xf>
    <xf numFmtId="49" fontId="40" fillId="0" borderId="8" xfId="0" applyNumberFormat="1" applyFont="1" applyBorder="1" applyAlignment="1">
      <alignment horizontal="left" vertical="center" wrapText="1"/>
    </xf>
    <xf numFmtId="0" fontId="17" fillId="0" borderId="0" xfId="0" applyNumberFormat="1" applyFont="1" applyAlignment="1">
      <alignment vertical="center"/>
    </xf>
    <xf numFmtId="0" fontId="17" fillId="6" borderId="0" xfId="0" applyNumberFormat="1" applyFont="1" applyFill="1" applyAlignment="1"/>
    <xf numFmtId="0" fontId="17" fillId="6" borderId="0" xfId="0" applyNumberFormat="1" applyFont="1" applyFill="1" applyAlignment="1">
      <alignment vertical="center" wrapText="1"/>
    </xf>
    <xf numFmtId="0" fontId="17"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5" fillId="6" borderId="0" xfId="0" applyNumberFormat="1" applyFont="1" applyFill="1" applyAlignment="1">
      <alignment horizontal="center" vertical="center" wrapText="1"/>
    </xf>
    <xf numFmtId="0" fontId="11"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17" fillId="0" borderId="0" xfId="0" applyNumberFormat="1" applyFont="1" applyAlignment="1">
      <alignment vertical="center" wrapText="1"/>
    </xf>
    <xf numFmtId="0" fontId="17"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48" fillId="8" borderId="6" xfId="0" applyNumberFormat="1" applyFont="1" applyFill="1" applyBorder="1" applyAlignment="1">
      <alignment horizontal="center" vertical="center" wrapText="1"/>
    </xf>
    <xf numFmtId="0" fontId="17" fillId="0" borderId="0" xfId="0" applyNumberFormat="1" applyFont="1" applyAlignment="1">
      <alignment horizontal="left" vertical="center" wrapText="1"/>
    </xf>
    <xf numFmtId="49" fontId="17" fillId="0" borderId="0" xfId="0" applyNumberFormat="1" applyFont="1" applyAlignment="1">
      <alignment horizontal="left" vertical="center" wrapText="1"/>
    </xf>
    <xf numFmtId="0" fontId="17" fillId="0" borderId="0" xfId="0" applyNumberFormat="1" applyFont="1" applyAlignment="1">
      <alignment vertical="center" wrapText="1"/>
    </xf>
    <xf numFmtId="49" fontId="23"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0" fillId="6" borderId="5" xfId="0" applyNumberFormat="1" applyFont="1" applyFill="1" applyBorder="1" applyAlignment="1">
      <alignment horizontal="left" vertical="center" wrapText="1"/>
    </xf>
    <xf numFmtId="49" fontId="19" fillId="8" borderId="6" xfId="0" applyNumberFormat="1" applyFont="1" applyFill="1" applyBorder="1" applyAlignment="1">
      <alignment horizontal="center" vertical="center"/>
    </xf>
    <xf numFmtId="49" fontId="16" fillId="0" borderId="0" xfId="0" applyNumberFormat="1" applyFont="1" applyAlignment="1">
      <alignment horizontal="center" vertical="center" wrapText="1"/>
    </xf>
    <xf numFmtId="0" fontId="16"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1" fillId="0" borderId="0" xfId="0" applyNumberFormat="1" applyFont="1" applyAlignment="1">
      <alignment vertical="center" wrapText="1"/>
    </xf>
    <xf numFmtId="0" fontId="24"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8"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17" fillId="0" borderId="0" xfId="0" applyNumberFormat="1" applyFont="1" applyAlignment="1">
      <alignment horizontal="center" vertical="center" wrapText="1"/>
    </xf>
    <xf numFmtId="0" fontId="17" fillId="0" borderId="18" xfId="0" applyNumberFormat="1" applyFont="1" applyBorder="1" applyAlignment="1">
      <alignment horizontal="center" vertical="center" wrapText="1"/>
    </xf>
    <xf numFmtId="0" fontId="17" fillId="0" borderId="3" xfId="0" applyNumberFormat="1" applyFont="1" applyBorder="1" applyAlignment="1">
      <alignment horizontal="left" vertical="center" wrapText="1" indent="2"/>
    </xf>
    <xf numFmtId="0" fontId="17" fillId="0" borderId="3" xfId="0" applyNumberFormat="1" applyFont="1" applyBorder="1" applyAlignment="1">
      <alignment horizontal="center" vertical="center" wrapText="1"/>
    </xf>
    <xf numFmtId="0" fontId="17"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5"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0" fillId="0" borderId="0" xfId="0" applyNumberFormat="1" applyFont="1" applyAlignment="1">
      <alignment horizontal="center" vertical="center" wrapText="1"/>
    </xf>
    <xf numFmtId="49" fontId="40" fillId="0" borderId="18" xfId="0" applyNumberFormat="1" applyFont="1" applyBorder="1" applyAlignment="1">
      <alignment horizontal="center" vertical="center" wrapText="1"/>
    </xf>
    <xf numFmtId="0" fontId="40" fillId="0" borderId="3" xfId="0" applyNumberFormat="1" applyFont="1" applyBorder="1" applyAlignment="1">
      <alignment horizontal="left" vertical="center" wrapText="1" indent="2"/>
    </xf>
    <xf numFmtId="0" fontId="40" fillId="0" borderId="3" xfId="0" applyNumberFormat="1" applyFont="1" applyBorder="1" applyAlignment="1">
      <alignment horizontal="center" vertical="center" wrapText="1"/>
    </xf>
    <xf numFmtId="0" fontId="40" fillId="0" borderId="3" xfId="0" applyNumberFormat="1" applyFont="1" applyBorder="1" applyAlignment="1">
      <alignment vertical="center" wrapText="1"/>
    </xf>
    <xf numFmtId="0" fontId="52" fillId="0" borderId="0" xfId="0" applyNumberFormat="1" applyFont="1" applyAlignment="1">
      <alignment vertical="center" wrapText="1"/>
    </xf>
    <xf numFmtId="0" fontId="31" fillId="0" borderId="0" xfId="0" applyNumberFormat="1" applyFont="1" applyAlignment="1">
      <alignment vertical="center" wrapText="1"/>
    </xf>
    <xf numFmtId="0" fontId="40" fillId="0" borderId="18" xfId="0" applyNumberFormat="1" applyFont="1" applyBorder="1" applyAlignment="1">
      <alignment horizontal="center" vertical="center" wrapText="1"/>
    </xf>
    <xf numFmtId="0" fontId="40" fillId="0" borderId="3" xfId="0" applyNumberFormat="1" applyFont="1" applyBorder="1" applyAlignment="1">
      <alignment horizontal="left" vertical="center" wrapText="1" indent="3"/>
    </xf>
    <xf numFmtId="4" fontId="40"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9"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6"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9"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2" fillId="0" borderId="0" xfId="0" applyNumberFormat="1" applyFont="1" applyAlignment="1">
      <alignment vertical="center"/>
    </xf>
    <xf numFmtId="0" fontId="53" fillId="0" borderId="0" xfId="0" applyNumberFormat="1" applyFont="1" applyAlignment="1">
      <alignment vertical="center"/>
    </xf>
    <xf numFmtId="0" fontId="2" fillId="0" borderId="0" xfId="0" applyNumberFormat="1" applyFont="1" applyAlignment="1">
      <alignment vertical="center" wrapText="1"/>
    </xf>
    <xf numFmtId="49" fontId="4" fillId="0" borderId="0" xfId="0" applyNumberFormat="1" applyFont="1" applyAlignment="1">
      <alignment horizontal="center" vertical="center" wrapText="1"/>
    </xf>
    <xf numFmtId="0" fontId="16" fillId="0" borderId="0" xfId="0" applyNumberFormat="1" applyFont="1" applyAlignment="1">
      <alignment vertical="center"/>
    </xf>
    <xf numFmtId="49" fontId="42" fillId="0" borderId="3" xfId="0" applyNumberFormat="1" applyFont="1" applyBorder="1" applyAlignment="1">
      <alignment horizontal="left" vertical="center" wrapText="1" indent="1"/>
    </xf>
    <xf numFmtId="0" fontId="16" fillId="0" borderId="0" xfId="0" applyNumberFormat="1" applyFont="1" applyAlignment="1">
      <alignment vertical="center"/>
    </xf>
    <xf numFmtId="0" fontId="41" fillId="0" borderId="0" xfId="0" applyNumberFormat="1" applyFont="1" applyAlignment="1">
      <alignment vertical="center"/>
    </xf>
    <xf numFmtId="49" fontId="9" fillId="8" borderId="4" xfId="0" applyNumberFormat="1" applyFont="1" applyFill="1" applyBorder="1" applyAlignment="1">
      <alignment horizontal="left" vertical="center" indent="1"/>
    </xf>
    <xf numFmtId="49" fontId="19" fillId="8" borderId="4" xfId="0" applyNumberFormat="1" applyFont="1" applyFill="1" applyBorder="1" applyAlignment="1">
      <alignment horizontal="right" vertical="center" wrapText="1"/>
    </xf>
    <xf numFmtId="49" fontId="3" fillId="0" borderId="0" xfId="0" applyNumberFormat="1" applyFont="1" applyAlignment="1">
      <alignment horizontal="center" vertical="center" wrapText="1"/>
    </xf>
    <xf numFmtId="0" fontId="17"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19" fillId="0" borderId="0" xfId="0" applyNumberFormat="1" applyFont="1" applyAlignment="1">
      <alignment horizontal="center" vertical="center" wrapText="1"/>
    </xf>
    <xf numFmtId="0" fontId="39" fillId="0" borderId="0" xfId="0" applyNumberFormat="1" applyFont="1" applyAlignment="1">
      <alignment vertical="center" wrapText="1"/>
    </xf>
    <xf numFmtId="0" fontId="17" fillId="0" borderId="0" xfId="0" applyNumberFormat="1" applyFont="1" applyAlignment="1">
      <alignment vertical="center" wrapText="1"/>
    </xf>
    <xf numFmtId="0" fontId="3" fillId="0" borderId="0" xfId="0" applyNumberFormat="1" applyFont="1" applyAlignment="1">
      <alignment vertical="center" wrapText="1"/>
    </xf>
    <xf numFmtId="49" fontId="31" fillId="0" borderId="0" xfId="0" applyNumberFormat="1" applyFont="1" applyAlignment="1">
      <alignment horizontal="center" vertical="center" wrapText="1"/>
    </xf>
    <xf numFmtId="0" fontId="31"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17" fillId="0" borderId="0" xfId="0" applyNumberFormat="1" applyFont="1">
      <alignment vertical="top"/>
    </xf>
    <xf numFmtId="49" fontId="16" fillId="0" borderId="0" xfId="0" applyNumberFormat="1" applyFont="1">
      <alignment vertical="top"/>
    </xf>
    <xf numFmtId="49" fontId="17" fillId="0" borderId="0" xfId="0" applyNumberFormat="1" applyFont="1">
      <alignment vertical="top"/>
    </xf>
    <xf numFmtId="49" fontId="16" fillId="0" borderId="0" xfId="0" applyNumberFormat="1" applyFont="1">
      <alignment vertical="top"/>
    </xf>
    <xf numFmtId="49" fontId="16" fillId="0" borderId="0" xfId="0" applyNumberFormat="1" applyFont="1">
      <alignment vertical="top"/>
    </xf>
    <xf numFmtId="0" fontId="16" fillId="0" borderId="0" xfId="0" applyNumberFormat="1" applyFont="1">
      <alignment vertical="top"/>
    </xf>
    <xf numFmtId="0" fontId="41" fillId="0" borderId="0" xfId="0" applyNumberFormat="1" applyFont="1">
      <alignment vertical="top"/>
    </xf>
    <xf numFmtId="0" fontId="54" fillId="0" borderId="0" xfId="0" applyNumberFormat="1" applyFont="1">
      <alignment vertical="top"/>
    </xf>
    <xf numFmtId="0" fontId="16"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17" fillId="0" borderId="3" xfId="0" applyNumberFormat="1" applyFont="1" applyBorder="1" applyAlignment="1">
      <alignment horizontal="left" vertical="center" wrapText="1"/>
    </xf>
    <xf numFmtId="0" fontId="17"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19"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6" fillId="0" borderId="3" xfId="0" applyNumberFormat="1" applyFont="1" applyBorder="1" applyAlignment="1">
      <alignment horizontal="right" vertical="center" wrapText="1"/>
    </xf>
    <xf numFmtId="49" fontId="0" fillId="8" borderId="20"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9" fillId="8" borderId="6" xfId="0" applyNumberFormat="1" applyFont="1" applyFill="1" applyBorder="1" applyAlignment="1">
      <alignment horizontal="left" vertical="center"/>
    </xf>
    <xf numFmtId="49" fontId="9" fillId="8" borderId="4" xfId="0" applyNumberFormat="1" applyFont="1" applyFill="1" applyBorder="1" applyAlignment="1">
      <alignment horizontal="left" vertical="center" indent="1"/>
    </xf>
    <xf numFmtId="49" fontId="9" fillId="8" borderId="5" xfId="0" applyNumberFormat="1" applyFont="1" applyFill="1" applyBorder="1" applyAlignment="1">
      <alignment horizontal="left" vertical="center"/>
    </xf>
    <xf numFmtId="49" fontId="9" fillId="8" borderId="6" xfId="0" applyNumberFormat="1" applyFont="1" applyFill="1" applyBorder="1" applyAlignment="1">
      <alignment horizontal="left" vertical="center" indent="1"/>
    </xf>
    <xf numFmtId="49" fontId="9" fillId="8" borderId="6" xfId="0" applyNumberFormat="1" applyFont="1" applyFill="1" applyBorder="1" applyAlignment="1">
      <alignment horizontal="left" vertical="center"/>
    </xf>
    <xf numFmtId="49" fontId="9" fillId="8" borderId="4" xfId="0" applyNumberFormat="1" applyFont="1" applyFill="1" applyBorder="1" applyAlignment="1">
      <alignment horizontal="left" vertical="center" indent="1"/>
    </xf>
    <xf numFmtId="0" fontId="9"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4"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4"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3" fillId="7" borderId="5" xfId="0" applyNumberFormat="1" applyFont="1" applyFill="1" applyBorder="1" applyAlignment="1" applyProtection="1">
      <alignment horizontal="left" vertical="center" wrapText="1"/>
      <protection locked="0"/>
    </xf>
    <xf numFmtId="49" fontId="23"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4" fillId="0" borderId="0" xfId="0" applyNumberFormat="1" applyFont="1">
      <alignment vertical="top"/>
    </xf>
    <xf numFmtId="49" fontId="2" fillId="0" borderId="21" xfId="0" applyNumberFormat="1" applyFont="1" applyBorder="1" applyAlignment="1">
      <alignment horizontal="center" vertical="center" wrapText="1"/>
    </xf>
    <xf numFmtId="0" fontId="2" fillId="0" borderId="21" xfId="0" applyNumberFormat="1" applyFont="1" applyBorder="1" applyAlignment="1">
      <alignment horizontal="left" vertical="center" wrapText="1"/>
    </xf>
    <xf numFmtId="0" fontId="2" fillId="0" borderId="21" xfId="0" applyNumberFormat="1" applyFont="1" applyBorder="1" applyAlignment="1">
      <alignment horizontal="left" vertical="center" wrapText="1" indent="1"/>
    </xf>
    <xf numFmtId="4" fontId="2" fillId="10" borderId="21" xfId="0" applyNumberFormat="1" applyFont="1" applyFill="1" applyBorder="1" applyAlignment="1" applyProtection="1">
      <alignment horizontal="right" vertical="center" wrapText="1"/>
      <protection locked="0"/>
    </xf>
    <xf numFmtId="49" fontId="2" fillId="0" borderId="22" xfId="0" applyNumberFormat="1" applyFont="1" applyBorder="1" applyAlignment="1">
      <alignment horizontal="center" vertical="center" wrapText="1"/>
    </xf>
    <xf numFmtId="0" fontId="2" fillId="0" borderId="21" xfId="0" applyNumberFormat="1" applyFont="1" applyBorder="1" applyAlignment="1">
      <alignment horizontal="left" vertical="center" wrapText="1" indent="2"/>
    </xf>
    <xf numFmtId="0" fontId="16"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0" fillId="0" borderId="0" xfId="0" applyNumberFormat="1" applyFont="1" applyAlignment="1">
      <alignment vertical="center" wrapText="1"/>
    </xf>
    <xf numFmtId="0" fontId="50" fillId="0" borderId="0" xfId="0" applyNumberFormat="1" applyFont="1" applyAlignment="1">
      <alignmen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0" xfId="0" applyNumberFormat="1" applyFont="1" applyBorder="1" applyAlignment="1">
      <alignment horizontal="right" vertical="center" wrapText="1"/>
    </xf>
    <xf numFmtId="49" fontId="2" fillId="7" borderId="5"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center" wrapText="1"/>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vertical="center" wrapText="1"/>
    </xf>
    <xf numFmtId="0" fontId="2" fillId="8" borderId="17" xfId="0" applyNumberFormat="1" applyFont="1" applyFill="1" applyBorder="1" applyAlignment="1">
      <alignment vertical="center" wrapText="1"/>
    </xf>
    <xf numFmtId="49" fontId="0" fillId="7" borderId="3" xfId="0" applyNumberFormat="1" applyFont="1" applyFill="1" applyBorder="1" applyAlignment="1" applyProtection="1">
      <alignment horizontal="left" vertical="center" wrapText="1"/>
      <protection locked="0"/>
    </xf>
    <xf numFmtId="0" fontId="15" fillId="0" borderId="0" xfId="0" applyNumberFormat="1" applyFont="1" applyAlignment="1">
      <alignment horizontal="left" vertical="center" wrapText="1" indent="1"/>
    </xf>
    <xf numFmtId="0" fontId="55" fillId="6" borderId="0" xfId="0" applyNumberFormat="1" applyFont="1" applyFill="1" applyAlignment="1">
      <alignment horizontal="center" vertical="center" wrapText="1"/>
    </xf>
    <xf numFmtId="0" fontId="55"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6"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6"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3" fillId="8" borderId="4" xfId="0" applyNumberFormat="1" applyFont="1" applyFill="1" applyBorder="1" applyAlignment="1">
      <alignment horizontal="left" vertical="center" wrapText="1"/>
    </xf>
    <xf numFmtId="0" fontId="56" fillId="0" borderId="0" xfId="0" applyNumberFormat="1" applyFont="1" applyAlignment="1">
      <alignment vertical="center"/>
    </xf>
    <xf numFmtId="0" fontId="57" fillId="0" borderId="0" xfId="0" applyNumberFormat="1" applyFont="1" applyAlignment="1">
      <alignment vertical="center"/>
    </xf>
    <xf numFmtId="49" fontId="17" fillId="0" borderId="13" xfId="0" applyNumberFormat="1" applyFont="1" applyBorder="1">
      <alignment vertical="top"/>
    </xf>
    <xf numFmtId="49" fontId="17" fillId="0" borderId="13" xfId="0" applyNumberFormat="1" applyFont="1" applyBorder="1">
      <alignment vertical="top"/>
    </xf>
    <xf numFmtId="0" fontId="17"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39" fillId="0" borderId="13" xfId="0" applyNumberFormat="1" applyFont="1" applyBorder="1" applyAlignment="1">
      <alignment vertical="center" wrapText="1"/>
    </xf>
    <xf numFmtId="4" fontId="2" fillId="0" borderId="21" xfId="0" applyNumberFormat="1" applyFont="1" applyBorder="1" applyAlignment="1">
      <alignment horizontal="center" vertical="center" wrapText="1"/>
    </xf>
    <xf numFmtId="0" fontId="2" fillId="0" borderId="23" xfId="0" applyNumberFormat="1" applyFont="1" applyBorder="1" applyAlignment="1">
      <alignment horizontal="left" vertical="center" wrapText="1"/>
    </xf>
    <xf numFmtId="0" fontId="2" fillId="0" borderId="23" xfId="0" applyNumberFormat="1" applyFont="1" applyBorder="1" applyAlignment="1">
      <alignment horizontal="left" vertical="center" wrapText="1" indent="1"/>
    </xf>
    <xf numFmtId="4" fontId="2" fillId="10" borderId="23" xfId="0" applyNumberFormat="1" applyFont="1" applyFill="1" applyBorder="1" applyAlignment="1" applyProtection="1">
      <alignment horizontal="right" vertical="center" wrapText="1"/>
      <protection locked="0"/>
    </xf>
    <xf numFmtId="4" fontId="2" fillId="0" borderId="23" xfId="0" applyNumberFormat="1" applyFont="1" applyBorder="1" applyAlignment="1">
      <alignment horizontal="center" vertical="center" wrapText="1"/>
    </xf>
    <xf numFmtId="49" fontId="2" fillId="0" borderId="24"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4" xfId="0" applyNumberFormat="1" applyFont="1" applyFill="1" applyBorder="1" applyAlignment="1" applyProtection="1">
      <alignment horizontal="right" vertical="center" wrapText="1"/>
      <protection locked="0"/>
    </xf>
    <xf numFmtId="0" fontId="16" fillId="0" borderId="0" xfId="0" applyNumberFormat="1" applyFont="1" applyAlignment="1">
      <alignment horizontal="left" vertical="center" wrapText="1"/>
    </xf>
    <xf numFmtId="0" fontId="17" fillId="0" borderId="0" xfId="0" applyNumberFormat="1" applyFont="1" applyAlignment="1">
      <alignment horizontal="left" vertical="center" wrapText="1"/>
    </xf>
    <xf numFmtId="0" fontId="24"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1" fillId="0" borderId="0" xfId="0" applyNumberFormat="1" applyFont="1" applyAlignment="1">
      <alignment vertical="center" wrapText="1"/>
    </xf>
    <xf numFmtId="0" fontId="17" fillId="0" borderId="0" xfId="0" applyNumberFormat="1" applyFont="1" applyAlignment="1">
      <alignment vertical="center" wrapText="1"/>
    </xf>
    <xf numFmtId="0" fontId="24" fillId="0" borderId="0" xfId="0" applyNumberFormat="1" applyFont="1" applyAlignment="1">
      <alignment vertical="center" wrapText="1"/>
    </xf>
    <xf numFmtId="0" fontId="3" fillId="0" borderId="0" xfId="0" applyNumberFormat="1" applyFont="1" applyAlignment="1">
      <alignment vertical="center" wrapText="1"/>
    </xf>
    <xf numFmtId="49" fontId="19" fillId="0" borderId="0" xfId="0" applyNumberFormat="1" applyFont="1" applyAlignment="1">
      <alignment horizontal="center" vertical="center"/>
    </xf>
    <xf numFmtId="4" fontId="2" fillId="0" borderId="25" xfId="0" applyNumberFormat="1" applyFont="1" applyBorder="1" applyAlignment="1">
      <alignment horizontal="center" vertical="center" wrapText="1"/>
    </xf>
    <xf numFmtId="4" fontId="2" fillId="10" borderId="25"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0" fontId="2" fillId="0" borderId="25"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5"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6"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37" fillId="6" borderId="0" xfId="0" applyNumberFormat="1" applyFont="1" applyFill="1" applyAlignment="1">
      <alignment horizontal="right" vertical="center"/>
    </xf>
    <xf numFmtId="49" fontId="0" fillId="0" borderId="3" xfId="0" applyNumberFormat="1" applyFont="1" applyBorder="1">
      <alignment vertical="top"/>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164" fontId="2"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5" fillId="0" borderId="0" xfId="0" applyNumberFormat="1" applyFont="1" applyAlignment="1">
      <alignment horizontal="center" vertical="center" wrapText="1"/>
    </xf>
    <xf numFmtId="0" fontId="17"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6"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17"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4" fillId="0" borderId="15" xfId="0" applyNumberFormat="1" applyFont="1" applyBorder="1" applyAlignment="1">
      <alignment vertical="top" wrapText="1"/>
    </xf>
    <xf numFmtId="0" fontId="4" fillId="0" borderId="0" xfId="0" applyNumberFormat="1" applyFont="1" applyAlignment="1">
      <alignment vertical="top" wrapText="1"/>
    </xf>
    <xf numFmtId="0" fontId="17" fillId="0" borderId="3" xfId="0" applyNumberFormat="1" applyFont="1" applyBorder="1" applyAlignment="1">
      <alignment horizontal="center" vertical="center" wrapText="1"/>
    </xf>
    <xf numFmtId="0" fontId="16" fillId="0" borderId="1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2" fillId="10" borderId="3" xfId="0" applyNumberFormat="1" applyFont="1" applyFill="1" applyBorder="1" applyAlignment="1" applyProtection="1">
      <alignment horizontal="left" vertical="center" wrapText="1" indent="1"/>
      <protection locked="0"/>
    </xf>
    <xf numFmtId="0" fontId="16" fillId="0" borderId="13" xfId="0" applyNumberFormat="1" applyFont="1" applyBorder="1" applyAlignment="1">
      <alignment vertical="center"/>
    </xf>
    <xf numFmtId="3" fontId="2" fillId="7" borderId="5" xfId="0" applyNumberFormat="1" applyFont="1" applyFill="1" applyBorder="1" applyAlignment="1" applyProtection="1">
      <alignment horizontal="right" vertical="center" wrapText="1"/>
      <protection locked="0"/>
    </xf>
    <xf numFmtId="49" fontId="23" fillId="7" borderId="3" xfId="0" applyNumberFormat="1" applyFont="1" applyFill="1" applyBorder="1" applyAlignment="1" applyProtection="1">
      <alignment horizontal="left" vertical="center" wrapText="1"/>
      <protection locked="0"/>
    </xf>
    <xf numFmtId="0" fontId="2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5"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4"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48" fillId="0" borderId="8" xfId="0" applyNumberFormat="1" applyFont="1" applyBorder="1" applyAlignment="1">
      <alignment horizontal="center" vertical="center" wrapText="1"/>
    </xf>
    <xf numFmtId="49" fontId="16" fillId="0" borderId="0" xfId="0" applyNumberFormat="1" applyFont="1">
      <alignment vertical="top"/>
    </xf>
    <xf numFmtId="0" fontId="60"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49" fontId="58" fillId="12" borderId="3" xfId="0" applyNumberFormat="1" applyFont="1" applyFill="1" applyBorder="1" applyAlignment="1">
      <alignment horizontal="center" vertical="top" wrapText="1"/>
    </xf>
    <xf numFmtId="49" fontId="61" fillId="0" borderId="3" xfId="0" applyNumberFormat="1" applyFont="1" applyBorder="1" applyAlignment="1">
      <alignment horizontal="left" vertical="top" wrapText="1"/>
    </xf>
    <xf numFmtId="0" fontId="61" fillId="0" borderId="3" xfId="0" applyNumberFormat="1" applyFont="1" applyBorder="1" applyAlignment="1">
      <alignment horizontal="left" vertical="top" wrapText="1"/>
    </xf>
    <xf numFmtId="0" fontId="61" fillId="12" borderId="3" xfId="0" applyNumberFormat="1" applyFont="1" applyFill="1" applyBorder="1" applyAlignment="1">
      <alignment horizontal="right" vertical="center" wrapText="1"/>
    </xf>
    <xf numFmtId="49" fontId="61" fillId="0" borderId="3" xfId="0" applyNumberFormat="1" applyFont="1" applyBorder="1" applyAlignment="1">
      <alignment vertical="top" wrapText="1"/>
    </xf>
    <xf numFmtId="0" fontId="61" fillId="0" borderId="8" xfId="0" applyNumberFormat="1" applyFont="1" applyBorder="1" applyAlignment="1">
      <alignment horizontal="left" vertical="top" wrapText="1"/>
    </xf>
    <xf numFmtId="0" fontId="61" fillId="0" borderId="4" xfId="0" applyNumberFormat="1" applyFont="1" applyBorder="1" applyAlignment="1">
      <alignment horizontal="left" vertical="top" wrapText="1"/>
    </xf>
    <xf numFmtId="0" fontId="61" fillId="0" borderId="3" xfId="0" applyNumberFormat="1" applyFont="1" applyBorder="1" applyAlignment="1">
      <alignment vertical="top" wrapText="1"/>
    </xf>
    <xf numFmtId="0" fontId="58" fillId="12" borderId="3" xfId="0" applyNumberFormat="1" applyFont="1" applyFill="1" applyBorder="1" applyAlignment="1">
      <alignment horizontal="center" vertical="top" wrapText="1"/>
    </xf>
    <xf numFmtId="0" fontId="57" fillId="0" borderId="0" xfId="0" applyNumberFormat="1" applyFont="1" applyAlignment="1">
      <alignment vertical="center" wrapText="1"/>
    </xf>
    <xf numFmtId="0" fontId="15"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4" fillId="6" borderId="3" xfId="0" applyNumberFormat="1" applyFont="1" applyFill="1" applyBorder="1" applyAlignment="1">
      <alignment horizontal="center" vertical="center" wrapText="1"/>
    </xf>
    <xf numFmtId="49" fontId="37"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17" fillId="6" borderId="14" xfId="0" applyNumberFormat="1" applyFont="1" applyFill="1" applyBorder="1" applyAlignment="1">
      <alignment horizontal="center" vertical="center" wrapText="1"/>
    </xf>
    <xf numFmtId="0" fontId="5" fillId="6" borderId="15" xfId="0" applyNumberFormat="1" applyFont="1" applyFill="1" applyBorder="1" applyAlignment="1">
      <alignment vertical="top" wrapText="1"/>
    </xf>
    <xf numFmtId="0" fontId="5" fillId="6" borderId="0" xfId="0" applyNumberFormat="1" applyFont="1" applyFill="1" applyAlignment="1">
      <alignment vertical="top" wrapText="1"/>
    </xf>
    <xf numFmtId="14" fontId="2" fillId="11" borderId="19" xfId="0" applyNumberFormat="1" applyFont="1" applyFill="1" applyBorder="1" applyAlignment="1">
      <alignment horizontal="left" vertical="center" wrapText="1"/>
    </xf>
    <xf numFmtId="0" fontId="17" fillId="6" borderId="3" xfId="0" applyNumberFormat="1" applyFont="1" applyFill="1" applyBorder="1" applyAlignment="1">
      <alignment horizontal="center" vertical="center" wrapText="1"/>
    </xf>
    <xf numFmtId="0" fontId="9" fillId="8" borderId="6" xfId="0" applyNumberFormat="1" applyFont="1" applyFill="1" applyBorder="1" applyAlignment="1">
      <alignment vertical="center"/>
    </xf>
    <xf numFmtId="0" fontId="18" fillId="0" borderId="0" xfId="0" applyNumberFormat="1" applyFont="1" applyAlignment="1">
      <alignment vertical="center"/>
    </xf>
    <xf numFmtId="49" fontId="16" fillId="0" borderId="0" xfId="0" applyNumberFormat="1" applyFont="1">
      <alignment vertical="top"/>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62" fillId="6" borderId="0" xfId="0" applyNumberFormat="1" applyFont="1" applyFill="1" applyAlignment="1">
      <alignment horizontal="right" vertical="center"/>
    </xf>
    <xf numFmtId="49" fontId="61" fillId="0" borderId="4" xfId="0" applyNumberFormat="1" applyFont="1" applyBorder="1" applyAlignment="1">
      <alignment horizontal="left" vertical="top" wrapText="1"/>
    </xf>
    <xf numFmtId="49" fontId="61" fillId="0" borderId="5" xfId="0" applyNumberFormat="1" applyFont="1" applyBorder="1" applyAlignment="1">
      <alignment horizontal="left" vertical="top" wrapText="1"/>
    </xf>
    <xf numFmtId="0" fontId="61" fillId="0" borderId="8" xfId="0" applyNumberFormat="1" applyFont="1" applyBorder="1" applyAlignment="1">
      <alignment vertical="top" wrapText="1"/>
    </xf>
    <xf numFmtId="0" fontId="61" fillId="0" borderId="26" xfId="0" applyNumberFormat="1" applyFont="1" applyBorder="1" applyAlignment="1">
      <alignment horizontal="left" vertical="top" wrapText="1"/>
    </xf>
    <xf numFmtId="49" fontId="61" fillId="0" borderId="20" xfId="0" applyNumberFormat="1" applyFont="1" applyBorder="1" applyAlignment="1">
      <alignment horizontal="left" vertical="top" wrapText="1"/>
    </xf>
    <xf numFmtId="49" fontId="16"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1" fillId="0" borderId="3" xfId="0" applyNumberFormat="1" applyFont="1" applyBorder="1" applyAlignment="1">
      <alignment horizontal="center" vertical="top" wrapText="1"/>
    </xf>
    <xf numFmtId="0" fontId="61" fillId="12" borderId="3" xfId="0" applyNumberFormat="1" applyFont="1" applyFill="1" applyBorder="1" applyAlignment="1">
      <alignment horizontal="center" vertical="center" wrapText="1"/>
    </xf>
    <xf numFmtId="49" fontId="61" fillId="0" borderId="27" xfId="0" applyNumberFormat="1" applyFont="1" applyBorder="1" applyAlignment="1">
      <alignment horizontal="center" vertical="top" wrapText="1"/>
    </xf>
    <xf numFmtId="49" fontId="61" fillId="0" borderId="8" xfId="0" applyNumberFormat="1" applyFont="1" applyBorder="1" applyAlignment="1">
      <alignment horizontal="center" vertical="top" wrapText="1"/>
    </xf>
    <xf numFmtId="49" fontId="9"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63"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8" xfId="0" applyNumberFormat="1" applyFont="1" applyBorder="1" applyAlignment="1">
      <alignment vertical="center" wrapText="1"/>
    </xf>
    <xf numFmtId="0" fontId="16"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7" xfId="0" applyNumberFormat="1" applyFont="1" applyFill="1" applyBorder="1" applyAlignment="1">
      <alignment horizontal="center" vertical="center" wrapText="1"/>
    </xf>
    <xf numFmtId="0" fontId="2" fillId="8" borderId="19"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29" xfId="0" applyNumberFormat="1" applyFont="1" applyFill="1" applyBorder="1" applyAlignment="1">
      <alignment vertical="center" wrapText="1"/>
    </xf>
    <xf numFmtId="0" fontId="19" fillId="6" borderId="29" xfId="0" applyNumberFormat="1" applyFont="1" applyFill="1" applyBorder="1" applyAlignment="1">
      <alignment horizontal="center" wrapText="1"/>
    </xf>
    <xf numFmtId="49" fontId="37" fillId="0" borderId="29" xfId="0" applyNumberFormat="1" applyFont="1" applyBorder="1">
      <alignment vertical="top"/>
    </xf>
    <xf numFmtId="49" fontId="64" fillId="0" borderId="0" xfId="0" applyNumberFormat="1" applyFont="1" applyAlignment="1">
      <alignment vertical="center"/>
    </xf>
    <xf numFmtId="49" fontId="14" fillId="0" borderId="0" xfId="0" applyNumberFormat="1" applyFont="1" applyAlignment="1">
      <alignment vertical="center"/>
    </xf>
    <xf numFmtId="49" fontId="14" fillId="0" borderId="0" xfId="0" applyNumberFormat="1" applyFont="1" applyAlignment="1">
      <alignment vertical="center"/>
    </xf>
    <xf numFmtId="49" fontId="64" fillId="0" borderId="0" xfId="0" applyNumberFormat="1" applyFont="1" applyAlignment="1">
      <alignment vertical="center" wrapText="1"/>
    </xf>
    <xf numFmtId="49" fontId="14" fillId="0" borderId="0" xfId="0" applyNumberFormat="1" applyFont="1" applyAlignment="1">
      <alignment vertical="center" wrapText="1"/>
    </xf>
    <xf numFmtId="49" fontId="14" fillId="0" borderId="0" xfId="0" applyNumberFormat="1" applyFont="1">
      <alignment vertical="top"/>
    </xf>
    <xf numFmtId="49" fontId="14" fillId="0" borderId="0" xfId="0" applyNumberFormat="1" applyFont="1" applyAlignment="1">
      <alignment vertical="center" wrapText="1"/>
    </xf>
    <xf numFmtId="49" fontId="64"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9" fontId="64"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49" fontId="14" fillId="6" borderId="0" xfId="0" applyNumberFormat="1" applyFont="1" applyFill="1" applyAlignment="1">
      <alignment vertical="center" wrapText="1"/>
    </xf>
    <xf numFmtId="49" fontId="14" fillId="0" borderId="0" xfId="0" applyNumberFormat="1" applyFont="1">
      <alignment vertical="top"/>
    </xf>
    <xf numFmtId="49" fontId="14" fillId="6" borderId="0" xfId="0" applyNumberFormat="1" applyFont="1" applyFill="1" applyAlignment="1">
      <alignment vertical="center"/>
    </xf>
    <xf numFmtId="49" fontId="64" fillId="0" borderId="0" xfId="0" applyNumberFormat="1" applyFont="1" applyAlignment="1">
      <alignment vertical="center"/>
    </xf>
    <xf numFmtId="49" fontId="14" fillId="0" borderId="0" xfId="0" applyNumberFormat="1" applyFont="1">
      <alignment vertical="top"/>
    </xf>
    <xf numFmtId="4" fontId="14" fillId="6" borderId="0" xfId="0" applyNumberFormat="1" applyFont="1" applyFill="1" applyAlignment="1">
      <alignment vertical="center"/>
    </xf>
    <xf numFmtId="3" fontId="14"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17"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6"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5" fillId="0" borderId="0" xfId="0" applyNumberFormat="1" applyFont="1" applyAlignment="1">
      <alignment horizontal="center" vertical="center" wrapText="1"/>
    </xf>
    <xf numFmtId="49" fontId="58" fillId="0" borderId="3" xfId="0" applyNumberFormat="1" applyFont="1" applyBorder="1" applyAlignment="1">
      <alignment horizontal="center" vertical="center" wrapText="1"/>
    </xf>
    <xf numFmtId="0" fontId="58" fillId="0" borderId="3" xfId="0" applyNumberFormat="1" applyFont="1" applyBorder="1" applyAlignment="1">
      <alignment horizontal="center" vertical="center" wrapText="1"/>
    </xf>
    <xf numFmtId="49" fontId="58" fillId="0" borderId="8" xfId="0" applyNumberFormat="1" applyFont="1" applyBorder="1" applyAlignment="1">
      <alignment horizontal="center" vertical="center" wrapText="1"/>
    </xf>
    <xf numFmtId="49" fontId="58" fillId="0" borderId="14" xfId="0" applyNumberFormat="1" applyFont="1" applyBorder="1" applyAlignment="1">
      <alignment horizontal="center" vertical="center" wrapText="1"/>
    </xf>
    <xf numFmtId="0" fontId="58" fillId="0" borderId="8" xfId="0" applyNumberFormat="1" applyFont="1" applyBorder="1" applyAlignment="1">
      <alignment horizontal="center" vertical="center" wrapText="1"/>
    </xf>
    <xf numFmtId="49" fontId="61" fillId="0" borderId="13" xfId="0" applyNumberFormat="1" applyFont="1" applyBorder="1" applyAlignment="1">
      <alignment horizontal="center" vertical="top" wrapText="1"/>
    </xf>
    <xf numFmtId="49" fontId="61" fillId="0" borderId="26" xfId="0" applyNumberFormat="1" applyFont="1" applyBorder="1" applyAlignment="1">
      <alignment horizontal="left" vertical="top" wrapText="1"/>
    </xf>
    <xf numFmtId="0" fontId="58" fillId="0" borderId="3" xfId="0" applyNumberFormat="1" applyFont="1" applyBorder="1" applyAlignment="1">
      <alignment vertical="center" wrapText="1"/>
    </xf>
    <xf numFmtId="0" fontId="58" fillId="0" borderId="8" xfId="0" applyNumberFormat="1" applyFont="1" applyBorder="1" applyAlignment="1">
      <alignment vertical="center" wrapText="1"/>
    </xf>
    <xf numFmtId="0" fontId="58" fillId="0" borderId="14" xfId="0" applyNumberFormat="1" applyFont="1" applyBorder="1" applyAlignment="1">
      <alignment vertical="center" wrapText="1"/>
    </xf>
    <xf numFmtId="49" fontId="58"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7" xfId="0" applyNumberFormat="1" applyFont="1" applyFill="1" applyBorder="1" applyAlignment="1">
      <alignment vertical="center" wrapText="1"/>
    </xf>
    <xf numFmtId="49" fontId="9" fillId="8" borderId="10" xfId="0" applyNumberFormat="1" applyFont="1" applyFill="1" applyBorder="1" applyAlignment="1">
      <alignment horizontal="left" vertical="center" indent="1"/>
    </xf>
    <xf numFmtId="49" fontId="2" fillId="8" borderId="27" xfId="0" applyNumberFormat="1" applyFont="1" applyFill="1" applyBorder="1" applyAlignment="1">
      <alignment vertical="center" wrapText="1"/>
    </xf>
    <xf numFmtId="49" fontId="9" fillId="8" borderId="10" xfId="0" applyNumberFormat="1" applyFont="1" applyFill="1" applyBorder="1" applyAlignment="1">
      <alignment horizontal="left" vertical="center" indent="1"/>
    </xf>
    <xf numFmtId="0" fontId="40"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19" xfId="0" applyNumberFormat="1" applyFont="1" applyFill="1" applyBorder="1" applyAlignment="1" applyProtection="1">
      <alignment horizontal="right" vertical="center" wrapText="1"/>
      <protection locked="0"/>
    </xf>
    <xf numFmtId="49" fontId="58" fillId="12" borderId="3" xfId="0" applyNumberFormat="1" applyFont="1" applyFill="1" applyBorder="1" applyAlignment="1">
      <alignment horizontal="center" vertical="top"/>
    </xf>
    <xf numFmtId="49" fontId="58" fillId="0" borderId="3" xfId="0" applyNumberFormat="1" applyFont="1" applyBorder="1" applyAlignment="1">
      <alignment horizontal="center" vertical="top" wrapText="1"/>
    </xf>
    <xf numFmtId="49" fontId="58" fillId="0" borderId="3" xfId="0" applyNumberFormat="1" applyFont="1" applyBorder="1" applyAlignment="1">
      <alignment vertical="top" wrapText="1"/>
    </xf>
    <xf numFmtId="0" fontId="58" fillId="0" borderId="3" xfId="0" applyNumberFormat="1" applyFont="1" applyBorder="1" applyAlignment="1">
      <alignment vertical="top" wrapText="1"/>
    </xf>
    <xf numFmtId="49" fontId="58" fillId="0" borderId="3" xfId="0" applyNumberFormat="1" applyFont="1" applyBorder="1">
      <alignment vertical="top"/>
    </xf>
    <xf numFmtId="49" fontId="61" fillId="0" borderId="3" xfId="0" applyNumberFormat="1" applyFont="1" applyBorder="1">
      <alignment vertical="top"/>
    </xf>
    <xf numFmtId="49" fontId="58" fillId="0" borderId="0" xfId="0" applyNumberFormat="1" applyFont="1" applyAlignment="1">
      <alignment horizontal="center" vertical="center" wrapText="1"/>
    </xf>
    <xf numFmtId="49" fontId="58" fillId="0" borderId="0" xfId="0" applyNumberFormat="1" applyFont="1" applyAlignment="1">
      <alignment horizontal="left" vertical="center" wrapText="1"/>
    </xf>
    <xf numFmtId="49" fontId="58" fillId="17" borderId="0" xfId="0" applyNumberFormat="1" applyFont="1" applyFill="1" applyAlignment="1">
      <alignment horizontal="center" vertical="center" wrapText="1"/>
    </xf>
    <xf numFmtId="0" fontId="58" fillId="0" borderId="0" xfId="0" applyNumberFormat="1" applyFont="1" applyAlignment="1">
      <alignment vertical="center" wrapText="1"/>
    </xf>
    <xf numFmtId="0" fontId="17" fillId="0" borderId="3" xfId="0" applyNumberFormat="1" applyFont="1" applyBorder="1" applyAlignment="1">
      <alignment horizontal="left" vertical="center" wrapText="1" indent="3"/>
    </xf>
    <xf numFmtId="49" fontId="17" fillId="0" borderId="3" xfId="0" applyNumberFormat="1" applyFont="1" applyBorder="1" applyAlignment="1">
      <alignment vertical="center" wrapText="1"/>
    </xf>
    <xf numFmtId="0" fontId="17" fillId="0" borderId="8" xfId="0" applyNumberFormat="1" applyFont="1" applyBorder="1" applyAlignment="1">
      <alignment vertical="top" wrapText="1"/>
    </xf>
    <xf numFmtId="0" fontId="17" fillId="0" borderId="26" xfId="0" applyNumberFormat="1" applyFont="1" applyBorder="1" applyAlignment="1">
      <alignment horizontal="left" vertical="center" wrapText="1" indent="1"/>
    </xf>
    <xf numFmtId="0" fontId="17" fillId="0" borderId="26" xfId="0" applyNumberFormat="1" applyFont="1" applyBorder="1" applyAlignment="1">
      <alignment horizontal="center" vertical="center" wrapText="1"/>
    </xf>
    <xf numFmtId="0" fontId="17" fillId="0" borderId="8" xfId="0" applyNumberFormat="1" applyFont="1" applyBorder="1" applyAlignment="1">
      <alignment vertical="center" wrapText="1"/>
    </xf>
    <xf numFmtId="0" fontId="17" fillId="0" borderId="14" xfId="0" applyNumberFormat="1" applyFont="1" applyBorder="1" applyAlignment="1">
      <alignment horizontal="left" vertical="center" wrapText="1" indent="1"/>
    </xf>
    <xf numFmtId="0" fontId="17" fillId="0" borderId="8" xfId="0" applyNumberFormat="1" applyFont="1" applyBorder="1" applyAlignment="1">
      <alignment horizontal="left" vertical="center" wrapText="1" indent="1"/>
    </xf>
    <xf numFmtId="49" fontId="61" fillId="12" borderId="3" xfId="0" applyNumberFormat="1" applyFont="1" applyFill="1" applyBorder="1" applyAlignment="1">
      <alignment horizontal="center" vertical="top" wrapText="1"/>
    </xf>
    <xf numFmtId="49" fontId="61" fillId="12" borderId="3" xfId="0" applyNumberFormat="1" applyFont="1" applyFill="1" applyBorder="1" applyAlignment="1">
      <alignment horizontal="left" vertical="top" wrapText="1"/>
    </xf>
    <xf numFmtId="0" fontId="58"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58" fillId="0" borderId="5" xfId="0" applyNumberFormat="1" applyFont="1" applyBorder="1" applyAlignment="1">
      <alignment horizontal="center" vertical="center"/>
    </xf>
    <xf numFmtId="49" fontId="17" fillId="6" borderId="3" xfId="0" applyNumberFormat="1" applyFont="1" applyFill="1" applyBorder="1" applyAlignment="1">
      <alignment horizontal="center" vertical="center"/>
    </xf>
    <xf numFmtId="0" fontId="17" fillId="6" borderId="3" xfId="0" applyNumberFormat="1" applyFont="1" applyFill="1" applyBorder="1" applyAlignment="1">
      <alignment horizontal="left" vertical="center" wrapText="1" indent="1"/>
    </xf>
    <xf numFmtId="0" fontId="17" fillId="6" borderId="3" xfId="0" applyNumberFormat="1" applyFont="1" applyFill="1" applyBorder="1" applyAlignment="1">
      <alignment vertical="center" wrapText="1"/>
    </xf>
    <xf numFmtId="49" fontId="17" fillId="0" borderId="3" xfId="0" applyNumberFormat="1" applyFont="1" applyBorder="1" applyAlignment="1">
      <alignment horizontal="center" vertical="center"/>
    </xf>
    <xf numFmtId="0" fontId="17"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center" wrapText="1"/>
    </xf>
    <xf numFmtId="0" fontId="17" fillId="0" borderId="3" xfId="0" applyNumberFormat="1" applyFont="1" applyBorder="1" applyAlignment="1">
      <alignment vertical="center" wrapText="1"/>
    </xf>
    <xf numFmtId="0" fontId="17" fillId="0" borderId="3" xfId="0" applyNumberFormat="1" applyFont="1" applyBorder="1" applyAlignment="1">
      <alignment horizontal="center" vertical="center" wrapText="1"/>
    </xf>
    <xf numFmtId="0" fontId="17" fillId="6" borderId="3" xfId="0" applyNumberFormat="1" applyFont="1" applyFill="1" applyBorder="1" applyAlignment="1">
      <alignment horizontal="left" vertical="center" wrapText="1" indent="2"/>
    </xf>
    <xf numFmtId="49" fontId="17" fillId="0" borderId="3" xfId="0" applyNumberFormat="1" applyFont="1" applyBorder="1" applyAlignment="1">
      <alignment horizontal="left" vertical="center" wrapText="1"/>
    </xf>
    <xf numFmtId="49" fontId="17"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65" fillId="0" borderId="0" xfId="0" applyNumberFormat="1" applyFont="1" applyAlignment="1">
      <alignment horizontal="center" vertical="center" wrapText="1"/>
    </xf>
    <xf numFmtId="0" fontId="66"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6" fillId="0" borderId="0" xfId="0" applyNumberFormat="1" applyFont="1" applyAlignment="1">
      <alignment horizontal="center" vertical="center" wrapText="1"/>
    </xf>
    <xf numFmtId="0" fontId="17" fillId="0" borderId="17" xfId="0" applyNumberFormat="1" applyFont="1" applyBorder="1" applyAlignment="1">
      <alignment vertical="center" wrapText="1"/>
    </xf>
    <xf numFmtId="49" fontId="23" fillId="0" borderId="5" xfId="0" applyNumberFormat="1" applyFont="1" applyBorder="1" applyAlignment="1">
      <alignment horizontal="left" vertical="center" wrapText="1"/>
    </xf>
    <xf numFmtId="49" fontId="23" fillId="0" borderId="6" xfId="0" applyNumberFormat="1" applyFont="1" applyBorder="1" applyAlignment="1">
      <alignment horizontal="left" vertical="center" wrapText="1"/>
    </xf>
    <xf numFmtId="49"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49" fontId="23" fillId="0" borderId="27" xfId="0" applyNumberFormat="1" applyFont="1" applyBorder="1" applyAlignment="1">
      <alignment horizontal="left" vertical="center" wrapText="1"/>
    </xf>
    <xf numFmtId="49" fontId="23" fillId="0" borderId="20" xfId="0" applyNumberFormat="1" applyFont="1" applyBorder="1" applyAlignment="1">
      <alignment horizontal="left" vertical="center" wrapText="1"/>
    </xf>
    <xf numFmtId="0" fontId="2" fillId="0" borderId="26" xfId="0" applyNumberFormat="1" applyFont="1" applyBorder="1" applyAlignment="1">
      <alignment vertical="center" wrapText="1"/>
    </xf>
    <xf numFmtId="0" fontId="2" fillId="0" borderId="22" xfId="0" applyNumberFormat="1" applyFont="1" applyBorder="1" applyAlignment="1">
      <alignment horizontal="left" vertical="center" wrapText="1"/>
    </xf>
    <xf numFmtId="49" fontId="16"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0" xfId="0" applyNumberFormat="1" applyFont="1" applyBorder="1" applyAlignment="1">
      <alignment horizontal="center" vertical="center" wrapText="1"/>
    </xf>
    <xf numFmtId="0" fontId="17" fillId="0" borderId="0" xfId="0" applyNumberFormat="1" applyFont="1" applyAlignment="1">
      <alignment horizontal="center" vertical="top"/>
    </xf>
    <xf numFmtId="49" fontId="17" fillId="0" borderId="0" xfId="0" applyNumberFormat="1" applyFont="1">
      <alignment vertical="top"/>
    </xf>
    <xf numFmtId="0" fontId="17" fillId="0" borderId="14" xfId="0" applyNumberFormat="1" applyFont="1" applyBorder="1" applyAlignment="1">
      <alignment vertical="center" wrapText="1"/>
    </xf>
    <xf numFmtId="4" fontId="17" fillId="0" borderId="3" xfId="0" applyNumberFormat="1" applyFont="1" applyBorder="1" applyAlignment="1">
      <alignment horizontal="right" vertical="center" wrapText="1"/>
    </xf>
    <xf numFmtId="2" fontId="17" fillId="0" borderId="14" xfId="0" applyNumberFormat="1" applyFont="1" applyBorder="1" applyAlignment="1">
      <alignment horizontal="center" vertical="center" wrapText="1"/>
    </xf>
    <xf numFmtId="0" fontId="17" fillId="0" borderId="3" xfId="0" applyNumberFormat="1" applyFont="1" applyBorder="1" applyAlignment="1">
      <alignment horizontal="left" vertical="center" wrapText="1"/>
    </xf>
    <xf numFmtId="49" fontId="17" fillId="0" borderId="5" xfId="0" applyNumberFormat="1" applyFont="1" applyBorder="1" applyAlignment="1">
      <alignment horizontal="left" vertical="center"/>
    </xf>
    <xf numFmtId="49" fontId="17" fillId="0" borderId="6" xfId="0" applyNumberFormat="1" applyFont="1" applyBorder="1" applyAlignment="1">
      <alignment horizontal="left" vertical="center" indent="1"/>
    </xf>
    <xf numFmtId="49" fontId="17" fillId="0" borderId="6" xfId="0" applyNumberFormat="1" applyFont="1" applyBorder="1" applyAlignment="1">
      <alignment horizontal="left" vertical="center"/>
    </xf>
    <xf numFmtId="0" fontId="17" fillId="0" borderId="3" xfId="0" applyNumberFormat="1" applyFont="1" applyBorder="1" applyAlignment="1">
      <alignment horizontal="left" vertical="center" indent="1"/>
    </xf>
    <xf numFmtId="49" fontId="9" fillId="0" borderId="10" xfId="0" applyNumberFormat="1" applyFont="1" applyBorder="1" applyAlignment="1">
      <alignment horizontal="right"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23"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7" xfId="0" applyNumberFormat="1" applyFont="1" applyBorder="1" applyAlignment="1">
      <alignment vertical="center" wrapText="1"/>
    </xf>
    <xf numFmtId="49" fontId="14" fillId="0" borderId="0" xfId="0" applyNumberFormat="1" applyFont="1">
      <alignment vertical="top"/>
    </xf>
    <xf numFmtId="0" fontId="14" fillId="0" borderId="0" xfId="0" applyNumberFormat="1" applyFont="1" applyAlignment="1">
      <alignment vertical="center" wrapText="1"/>
    </xf>
    <xf numFmtId="49" fontId="60"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6" fillId="18" borderId="3" xfId="0" applyNumberFormat="1" applyFont="1" applyFill="1" applyBorder="1" applyAlignment="1">
      <alignment horizontal="center" vertical="center"/>
    </xf>
    <xf numFmtId="49" fontId="16"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4" xfId="0" applyNumberFormat="1" applyFont="1" applyBorder="1" applyAlignment="1">
      <alignment vertical="center"/>
    </xf>
    <xf numFmtId="49" fontId="2" fillId="0" borderId="35"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1" xfId="0" applyNumberFormat="1" applyFont="1" applyBorder="1" applyAlignment="1">
      <alignment horizontal="center" vertical="center"/>
    </xf>
    <xf numFmtId="49" fontId="2" fillId="0" borderId="0" xfId="0" applyNumberFormat="1" applyFont="1">
      <alignment vertical="top"/>
    </xf>
    <xf numFmtId="49" fontId="0" fillId="7" borderId="21"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1" xfId="0" applyNumberFormat="1" applyFont="1" applyBorder="1" applyAlignment="1">
      <alignment horizontal="right" vertical="center"/>
    </xf>
    <xf numFmtId="0" fontId="0" fillId="5" borderId="21" xfId="0" applyNumberFormat="1" applyFont="1" applyFill="1" applyBorder="1" applyAlignment="1">
      <alignment horizontal="center" vertical="center"/>
    </xf>
    <xf numFmtId="49" fontId="0" fillId="0" borderId="21"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67" fillId="0" borderId="36" xfId="0" applyNumberFormat="1" applyFont="1" applyBorder="1" applyAlignment="1">
      <alignment horizontal="center" vertical="center"/>
    </xf>
    <xf numFmtId="0" fontId="0" fillId="0" borderId="36"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7"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2" xfId="0" applyNumberFormat="1" applyFont="1" applyBorder="1" applyAlignment="1">
      <alignment horizontal="center" vertical="center"/>
    </xf>
    <xf numFmtId="0" fontId="0" fillId="0" borderId="21"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68" fillId="0" borderId="37" xfId="0" applyNumberFormat="1" applyFont="1" applyBorder="1" applyAlignment="1">
      <alignment horizontal="left" vertical="center" indent="1"/>
    </xf>
    <xf numFmtId="0" fontId="68" fillId="0" borderId="38" xfId="0" applyNumberFormat="1" applyFont="1" applyBorder="1" applyAlignment="1">
      <alignment horizontal="left" vertical="center" indent="1"/>
    </xf>
    <xf numFmtId="0" fontId="68" fillId="0" borderId="39"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6" fillId="0" borderId="0" xfId="0" applyNumberFormat="1" applyFont="1" applyAlignment="1">
      <alignment vertical="center" wrapText="1"/>
    </xf>
    <xf numFmtId="49" fontId="63"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19" fillId="6" borderId="29" xfId="0" applyNumberFormat="1" applyFont="1" applyFill="1" applyBorder="1" applyAlignment="1">
      <alignment horizontal="center" wrapText="1"/>
    </xf>
    <xf numFmtId="49" fontId="37" fillId="0" borderId="29"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6"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29"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6"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29" xfId="0" applyNumberFormat="1" applyFont="1" applyFill="1" applyBorder="1" applyAlignment="1">
      <alignment vertical="center" wrapText="1"/>
    </xf>
    <xf numFmtId="49" fontId="16"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69" fillId="0" borderId="7" xfId="0" applyNumberFormat="1" applyFont="1" applyBorder="1">
      <alignment vertical="top"/>
    </xf>
    <xf numFmtId="0" fontId="0" fillId="0" borderId="0" xfId="0" applyNumberFormat="1" applyFont="1">
      <alignment vertical="top"/>
    </xf>
    <xf numFmtId="0" fontId="16" fillId="0" borderId="0" xfId="0" applyNumberFormat="1" applyFont="1" applyAlignment="1">
      <alignment vertical="center" wrapText="1"/>
    </xf>
    <xf numFmtId="49" fontId="23"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3" fillId="10" borderId="3" xfId="0" applyNumberFormat="1" applyFont="1" applyFill="1" applyBorder="1" applyAlignment="1" applyProtection="1">
      <alignment horizontal="left" vertical="center" wrapText="1"/>
      <protection locked="0"/>
    </xf>
    <xf numFmtId="49" fontId="16"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9" fillId="8" borderId="6" xfId="0" applyNumberFormat="1" applyFont="1" applyFill="1" applyBorder="1" applyAlignment="1">
      <alignment horizontal="left" vertical="center" indent="1"/>
    </xf>
    <xf numFmtId="4" fontId="2" fillId="10" borderId="21"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8"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0" xfId="0" applyNumberFormat="1" applyFont="1" applyFill="1" applyBorder="1" applyAlignment="1">
      <alignment vertical="center" wrapText="1"/>
    </xf>
    <xf numFmtId="0" fontId="2" fillId="8" borderId="41" xfId="0" applyNumberFormat="1" applyFont="1" applyFill="1" applyBorder="1" applyAlignment="1">
      <alignment vertical="center" wrapText="1"/>
    </xf>
    <xf numFmtId="49" fontId="70" fillId="8" borderId="5" xfId="0" applyNumberFormat="1" applyFont="1" applyFill="1" applyBorder="1" applyAlignment="1">
      <alignment horizontal="left" vertical="center" indent="1"/>
    </xf>
    <xf numFmtId="49" fontId="70" fillId="8" borderId="6" xfId="0" applyNumberFormat="1" applyFont="1" applyFill="1" applyBorder="1" applyAlignment="1">
      <alignment horizontal="left" vertical="center" indent="1"/>
    </xf>
    <xf numFmtId="49" fontId="60" fillId="8" borderId="33" xfId="0" applyNumberFormat="1" applyFont="1" applyFill="1" applyBorder="1" applyAlignment="1">
      <alignment horizontal="center" vertical="center"/>
    </xf>
    <xf numFmtId="49" fontId="70" fillId="8" borderId="33" xfId="0" applyNumberFormat="1" applyFont="1" applyFill="1" applyBorder="1" applyAlignment="1">
      <alignment horizontal="left" vertical="center" indent="1"/>
    </xf>
    <xf numFmtId="0" fontId="14" fillId="11" borderId="3" xfId="0" applyNumberFormat="1" applyFont="1" applyFill="1" applyBorder="1" applyAlignment="1">
      <alignment horizontal="left" vertical="center" wrapText="1" indent="1"/>
    </xf>
    <xf numFmtId="49" fontId="14" fillId="8" borderId="6" xfId="0" applyNumberFormat="1" applyFont="1" applyFill="1" applyBorder="1" applyAlignment="1">
      <alignment vertical="top" wrapText="1"/>
    </xf>
    <xf numFmtId="49" fontId="14" fillId="8" borderId="4" xfId="0" applyNumberFormat="1" applyFont="1" applyFill="1" applyBorder="1" applyAlignment="1">
      <alignment vertical="top" wrapText="1"/>
    </xf>
    <xf numFmtId="49" fontId="14" fillId="8" borderId="42" xfId="0" applyNumberFormat="1" applyFont="1" applyFill="1" applyBorder="1" applyAlignment="1">
      <alignment vertical="top" wrapText="1"/>
    </xf>
    <xf numFmtId="49" fontId="70" fillId="8" borderId="42" xfId="0" applyNumberFormat="1" applyFont="1" applyFill="1" applyBorder="1" applyAlignment="1">
      <alignment horizontal="left" vertical="center" indent="1"/>
    </xf>
    <xf numFmtId="0" fontId="2" fillId="8" borderId="43" xfId="0" applyNumberFormat="1" applyFont="1" applyFill="1" applyBorder="1" applyAlignment="1">
      <alignment vertical="center" wrapText="1"/>
    </xf>
    <xf numFmtId="0" fontId="2" fillId="6" borderId="29" xfId="0" applyNumberFormat="1" applyFont="1" applyFill="1" applyBorder="1" applyAlignment="1">
      <alignment vertical="center" wrapText="1"/>
    </xf>
    <xf numFmtId="0" fontId="0" fillId="0" borderId="39" xfId="0" applyNumberFormat="1" applyFont="1" applyBorder="1" applyAlignment="1">
      <alignment horizontal="left" vertical="center" wrapText="1"/>
    </xf>
    <xf numFmtId="0" fontId="2" fillId="0" borderId="39" xfId="0" applyNumberFormat="1" applyFont="1" applyBorder="1" applyAlignment="1">
      <alignment vertical="center" wrapText="1"/>
    </xf>
    <xf numFmtId="0" fontId="2" fillId="0" borderId="44" xfId="0" applyNumberFormat="1" applyFont="1" applyBorder="1" applyAlignment="1">
      <alignment vertical="center" wrapText="1"/>
    </xf>
    <xf numFmtId="0" fontId="2" fillId="0" borderId="45" xfId="0" applyNumberFormat="1" applyFont="1" applyBorder="1" applyAlignment="1">
      <alignment vertical="center" wrapText="1"/>
    </xf>
    <xf numFmtId="0" fontId="0" fillId="8" borderId="40"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4" fillId="0" borderId="3" xfId="0" applyNumberFormat="1" applyFont="1" applyBorder="1" applyAlignment="1">
      <alignment horizontal="center" vertical="center"/>
    </xf>
    <xf numFmtId="49" fontId="4" fillId="12" borderId="3" xfId="0" applyNumberFormat="1" applyFont="1" applyFill="1" applyBorder="1" applyAlignment="1">
      <alignment horizontal="center" vertical="center"/>
    </xf>
    <xf numFmtId="0" fontId="4" fillId="0" borderId="3"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2" fillId="0" borderId="0" xfId="0" applyNumberFormat="1" applyFont="1" applyAlignment="1">
      <alignment vertical="center"/>
    </xf>
    <xf numFmtId="49" fontId="16"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6" xfId="0" applyNumberFormat="1" applyFont="1" applyBorder="1" applyAlignment="1">
      <alignment horizontal="center" vertical="center"/>
    </xf>
    <xf numFmtId="0" fontId="2" fillId="0" borderId="46" xfId="0" applyNumberFormat="1" applyFont="1" applyBorder="1" applyAlignment="1">
      <alignment horizontal="right" vertical="center"/>
    </xf>
    <xf numFmtId="0" fontId="2" fillId="0" borderId="46"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9" fillId="8" borderId="47" xfId="0" applyNumberFormat="1" applyFont="1" applyFill="1" applyBorder="1" applyAlignment="1">
      <alignment horizontal="left" vertical="center" indent="1"/>
    </xf>
    <xf numFmtId="49" fontId="9" fillId="8" borderId="41" xfId="0" applyNumberFormat="1" applyFont="1" applyFill="1" applyBorder="1" applyAlignment="1">
      <alignment horizontal="left" vertical="center" indent="1"/>
    </xf>
    <xf numFmtId="49" fontId="9"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4" fillId="6"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5"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17" fillId="0" borderId="0" xfId="0" applyNumberFormat="1" applyFont="1">
      <alignment vertical="top"/>
    </xf>
    <xf numFmtId="0" fontId="17" fillId="0" borderId="29"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8" xfId="0" applyNumberFormat="1" applyFont="1" applyBorder="1" applyAlignment="1">
      <alignment vertical="center"/>
    </xf>
    <xf numFmtId="49" fontId="9"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2" fillId="6" borderId="17" xfId="0" applyNumberFormat="1" applyFont="1" applyFill="1" applyBorder="1" applyAlignment="1">
      <alignment vertical="center" wrapText="1"/>
    </xf>
    <xf numFmtId="0" fontId="17" fillId="6" borderId="10" xfId="0" applyNumberFormat="1" applyFont="1" applyFill="1" applyBorder="1" applyAlignment="1">
      <alignment horizontal="center" vertical="center" wrapText="1"/>
    </xf>
    <xf numFmtId="49" fontId="40" fillId="0" borderId="0" xfId="0" applyNumberFormat="1" applyFont="1" applyAlignment="1">
      <alignment vertical="center" wrapText="1"/>
    </xf>
    <xf numFmtId="0" fontId="71" fillId="6" borderId="0" xfId="0" applyNumberFormat="1" applyFont="1" applyFill="1" applyAlignment="1">
      <alignment vertical="center" wrapText="1"/>
    </xf>
    <xf numFmtId="0" fontId="39" fillId="0" borderId="0" xfId="0" applyNumberFormat="1" applyFont="1" applyAlignment="1">
      <alignment horizontal="left" vertical="center" wrapText="1"/>
    </xf>
    <xf numFmtId="0" fontId="2" fillId="0" borderId="0" xfId="0" applyNumberFormat="1" applyFont="1" applyAlignment="1">
      <alignment vertical="center"/>
    </xf>
    <xf numFmtId="49" fontId="17"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17" fillId="0" borderId="0" xfId="0" applyNumberFormat="1" applyFont="1" applyAlignment="1">
      <alignment vertical="center"/>
    </xf>
    <xf numFmtId="0" fontId="2" fillId="0" borderId="0" xfId="0" applyNumberFormat="1" applyFont="1" applyAlignment="1">
      <alignment horizontal="left" vertical="center" wrapText="1" indent="1"/>
    </xf>
    <xf numFmtId="0" fontId="49"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19" xfId="0" applyNumberFormat="1" applyFont="1" applyFill="1" applyBorder="1" applyAlignment="1">
      <alignment horizontal="center" vertical="center" wrapText="1"/>
    </xf>
    <xf numFmtId="0" fontId="17" fillId="0" borderId="0" xfId="0" applyNumberFormat="1" applyFont="1" applyAlignment="1">
      <alignment vertical="top" wrapText="1"/>
    </xf>
    <xf numFmtId="49" fontId="0" fillId="0" borderId="0" xfId="0" applyNumberFormat="1" applyFont="1" applyAlignment="1">
      <alignment vertical="center" wrapText="1"/>
    </xf>
    <xf numFmtId="0" fontId="72" fillId="6" borderId="0" xfId="0" applyNumberFormat="1" applyFont="1" applyFill="1" applyAlignment="1">
      <alignment vertical="center" wrapText="1"/>
    </xf>
    <xf numFmtId="49" fontId="47" fillId="6" borderId="10" xfId="0" applyNumberFormat="1" applyFont="1" applyFill="1" applyBorder="1" applyAlignment="1">
      <alignment horizontal="center" vertical="center" wrapText="1"/>
    </xf>
    <xf numFmtId="0" fontId="47"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4"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73" fillId="0" borderId="0" xfId="0" applyNumberFormat="1" applyFont="1" applyAlignment="1">
      <alignment vertical="center"/>
    </xf>
    <xf numFmtId="0" fontId="73"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74" fillId="8" borderId="6" xfId="0" applyNumberFormat="1" applyFont="1" applyFill="1" applyBorder="1" applyAlignment="1">
      <alignment horizontal="left" vertical="center" indent="3"/>
    </xf>
    <xf numFmtId="49" fontId="40" fillId="8" borderId="6" xfId="0" applyNumberFormat="1" applyFont="1" applyFill="1" applyBorder="1" applyAlignment="1">
      <alignment horizontal="center" vertical="center" wrapText="1"/>
    </xf>
    <xf numFmtId="49" fontId="34" fillId="8" borderId="6" xfId="0" applyNumberFormat="1" applyFont="1" applyFill="1" applyBorder="1" applyAlignment="1">
      <alignment horizontal="center" vertical="center" wrapText="1"/>
    </xf>
    <xf numFmtId="49" fontId="34" fillId="8" borderId="4" xfId="0" applyNumberFormat="1" applyFont="1" applyFill="1" applyBorder="1" applyAlignment="1">
      <alignment horizontal="center" vertical="center" wrapText="1"/>
    </xf>
    <xf numFmtId="49" fontId="74" fillId="8" borderId="6" xfId="0" applyNumberFormat="1" applyFont="1" applyFill="1" applyBorder="1" applyAlignment="1">
      <alignment horizontal="left" vertical="center" indent="2"/>
    </xf>
    <xf numFmtId="49" fontId="74" fillId="8" borderId="6" xfId="0" applyNumberFormat="1" applyFont="1" applyFill="1" applyBorder="1" applyAlignment="1">
      <alignment horizontal="left" vertical="center" indent="1"/>
    </xf>
    <xf numFmtId="49" fontId="74"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47" fillId="6" borderId="10" xfId="0" applyNumberFormat="1" applyFont="1" applyFill="1" applyBorder="1" applyAlignment="1">
      <alignment horizontal="left" vertical="center" wrapText="1"/>
    </xf>
    <xf numFmtId="49" fontId="37" fillId="8" borderId="5" xfId="0" applyNumberFormat="1" applyFont="1" applyFill="1" applyBorder="1" applyAlignment="1">
      <alignment horizontal="left" vertical="center"/>
    </xf>
    <xf numFmtId="49" fontId="66" fillId="8" borderId="5" xfId="0" applyNumberFormat="1" applyFont="1" applyFill="1" applyBorder="1" applyAlignment="1">
      <alignment horizontal="left" vertical="center"/>
    </xf>
    <xf numFmtId="49" fontId="34"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17"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47"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4"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9" fillId="0" borderId="0" xfId="0" applyNumberFormat="1" applyFont="1" applyAlignment="1">
      <alignment horizontal="left" vertical="center"/>
    </xf>
    <xf numFmtId="0" fontId="9" fillId="0" borderId="15" xfId="0" applyNumberFormat="1" applyFont="1" applyBorder="1" applyAlignment="1">
      <alignment horizontal="left" vertical="center"/>
    </xf>
    <xf numFmtId="0" fontId="9" fillId="0" borderId="20" xfId="0" applyNumberFormat="1" applyFont="1" applyBorder="1" applyAlignment="1">
      <alignment horizontal="left" vertical="center"/>
    </xf>
    <xf numFmtId="0" fontId="9" fillId="0" borderId="17" xfId="0" applyNumberFormat="1" applyFont="1" applyBorder="1" applyAlignment="1">
      <alignment horizontal="left" vertical="center"/>
    </xf>
    <xf numFmtId="0" fontId="0" fillId="0" borderId="17" xfId="0" applyNumberFormat="1" applyFont="1" applyBorder="1" applyAlignment="1">
      <alignment vertical="center"/>
    </xf>
    <xf numFmtId="0" fontId="9" fillId="0" borderId="19"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4"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47"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17" fillId="0" borderId="0" xfId="0" applyNumberFormat="1" applyFont="1" applyAlignment="1">
      <alignment horizontal="left" vertical="center" indent="1"/>
    </xf>
    <xf numFmtId="0" fontId="17" fillId="0" borderId="0" xfId="0" applyNumberFormat="1" applyFont="1" applyAlignment="1">
      <alignment horizontal="left" vertical="center" wrapText="1"/>
    </xf>
    <xf numFmtId="49" fontId="17" fillId="0" borderId="0" xfId="0" applyNumberFormat="1" applyFont="1">
      <alignment vertical="top"/>
    </xf>
    <xf numFmtId="49" fontId="72" fillId="0" borderId="0" xfId="0" applyNumberFormat="1" applyFont="1">
      <alignment vertical="top"/>
    </xf>
    <xf numFmtId="49" fontId="62" fillId="0" borderId="10" xfId="0" applyNumberFormat="1" applyFont="1" applyBorder="1" applyAlignment="1">
      <alignment horizontal="left" vertical="center"/>
    </xf>
    <xf numFmtId="49" fontId="17" fillId="0" borderId="10" xfId="0" applyNumberFormat="1" applyFont="1" applyBorder="1" applyAlignment="1">
      <alignment horizontal="left" vertical="center" indent="3"/>
    </xf>
    <xf numFmtId="49" fontId="17" fillId="0" borderId="10" xfId="0" applyNumberFormat="1" applyFont="1" applyBorder="1" applyAlignment="1">
      <alignment horizontal="center" vertical="center" wrapText="1"/>
    </xf>
    <xf numFmtId="49" fontId="17" fillId="0" borderId="0" xfId="0" applyNumberFormat="1" applyFont="1" applyAlignment="1">
      <alignment horizontal="left" vertical="center"/>
    </xf>
    <xf numFmtId="49" fontId="62" fillId="0" borderId="0" xfId="0" applyNumberFormat="1" applyFont="1" applyAlignment="1">
      <alignment horizontal="left" vertical="center"/>
    </xf>
    <xf numFmtId="49" fontId="17" fillId="0" borderId="0" xfId="0" applyNumberFormat="1" applyFont="1" applyAlignment="1">
      <alignment horizontal="left" vertical="center" indent="2"/>
    </xf>
    <xf numFmtId="49" fontId="17" fillId="0" borderId="0" xfId="0" applyNumberFormat="1" applyFont="1" applyAlignment="1">
      <alignment horizontal="center" vertical="center" wrapText="1"/>
    </xf>
    <xf numFmtId="49" fontId="17"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6"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17"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47"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17"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47"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17" fillId="0" borderId="0" xfId="0" applyNumberFormat="1" applyFont="1" applyAlignment="1">
      <alignment horizontal="left" vertical="center" indent="1"/>
    </xf>
    <xf numFmtId="49" fontId="72" fillId="0" borderId="0" xfId="0" applyNumberFormat="1" applyFont="1">
      <alignment vertical="top"/>
    </xf>
    <xf numFmtId="49" fontId="2" fillId="0" borderId="3" xfId="0" applyNumberFormat="1" applyFont="1" applyBorder="1" applyAlignment="1">
      <alignment vertical="center" wrapText="1"/>
    </xf>
    <xf numFmtId="0" fontId="17"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47" fillId="6" borderId="10" xfId="0" applyNumberFormat="1" applyFont="1" applyFill="1" applyBorder="1" applyAlignment="1">
      <alignment horizontal="center" vertical="center" wrapText="1"/>
    </xf>
    <xf numFmtId="0" fontId="17"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6" fillId="0" borderId="3" xfId="0" applyNumberFormat="1" applyFont="1" applyBorder="1" applyAlignment="1">
      <alignment horizontal="right" vertical="center" wrapText="1"/>
    </xf>
    <xf numFmtId="165" fontId="16" fillId="0" borderId="3" xfId="0" applyNumberFormat="1" applyFont="1" applyBorder="1" applyAlignment="1">
      <alignment horizontal="right" vertical="center" wrapText="1"/>
    </xf>
    <xf numFmtId="49" fontId="16" fillId="0" borderId="0" xfId="0" applyNumberFormat="1" applyFont="1" applyAlignment="1">
      <alignment vertical="center" wrapText="1"/>
    </xf>
    <xf numFmtId="0" fontId="16" fillId="0" borderId="0" xfId="0" applyNumberFormat="1" applyFont="1" applyAlignment="1">
      <alignment horizontal="left" vertical="center" indent="1"/>
    </xf>
    <xf numFmtId="0" fontId="16" fillId="0" borderId="0" xfId="0" applyNumberFormat="1" applyFont="1" applyAlignment="1">
      <alignment horizontal="center" vertical="center"/>
    </xf>
    <xf numFmtId="0" fontId="16" fillId="0" borderId="0" xfId="0" applyNumberFormat="1" applyFont="1" applyAlignment="1">
      <alignment horizontal="left" vertical="center" wrapText="1"/>
    </xf>
    <xf numFmtId="0" fontId="16" fillId="0" borderId="0" xfId="0" applyNumberFormat="1" applyFont="1" applyAlignment="1">
      <alignment vertical="center" wrapText="1"/>
    </xf>
    <xf numFmtId="49" fontId="16" fillId="0" borderId="3" xfId="0" applyNumberFormat="1" applyFont="1" applyBorder="1" applyAlignment="1">
      <alignment vertical="center" wrapText="1"/>
    </xf>
    <xf numFmtId="0" fontId="16" fillId="0" borderId="0" xfId="0" applyNumberFormat="1" applyFont="1" applyAlignment="1">
      <alignment vertical="center"/>
    </xf>
    <xf numFmtId="0" fontId="16" fillId="0" borderId="0" xfId="0" applyNumberFormat="1" applyFont="1" applyAlignment="1">
      <alignment horizontal="center" vertical="center"/>
    </xf>
    <xf numFmtId="0" fontId="16" fillId="0" borderId="0" xfId="0" applyNumberFormat="1" applyFont="1" applyAlignment="1">
      <alignment vertical="center"/>
    </xf>
    <xf numFmtId="0" fontId="36" fillId="0" borderId="0" xfId="0" applyNumberFormat="1" applyFont="1" applyAlignment="1">
      <alignment vertical="center" wrapText="1"/>
    </xf>
    <xf numFmtId="0" fontId="0" fillId="0" borderId="6" xfId="0" applyNumberFormat="1" applyFont="1" applyBorder="1" applyAlignment="1">
      <alignment vertical="center"/>
    </xf>
    <xf numFmtId="0" fontId="17" fillId="0" borderId="3" xfId="0" applyNumberFormat="1" applyFont="1" applyBorder="1" applyAlignment="1">
      <alignment horizontal="center" vertical="center" wrapTex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17" fillId="0" borderId="3" xfId="0" applyNumberFormat="1" applyFont="1" applyBorder="1" applyAlignment="1">
      <alignment vertical="center" wrapText="1"/>
    </xf>
    <xf numFmtId="0" fontId="40" fillId="0" borderId="0" xfId="0" applyNumberFormat="1" applyFont="1" applyAlignment="1">
      <alignment horizontal="center" vertical="center"/>
    </xf>
    <xf numFmtId="0" fontId="40" fillId="0" borderId="0" xfId="0" applyNumberFormat="1" applyFont="1" applyAlignment="1">
      <alignment horizontal="left" vertical="center" wrapText="1"/>
    </xf>
    <xf numFmtId="49" fontId="40" fillId="0" borderId="0" xfId="0" applyNumberFormat="1" applyFont="1" applyAlignment="1">
      <alignment horizontal="left" vertical="center"/>
    </xf>
    <xf numFmtId="0" fontId="2" fillId="0" borderId="0" xfId="0" applyNumberFormat="1" applyFont="1" applyAlignment="1">
      <alignment horizontal="center" vertical="center"/>
    </xf>
    <xf numFmtId="0" fontId="40"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17" fillId="0" borderId="3" xfId="0" applyNumberFormat="1" applyFont="1" applyBorder="1" applyAlignment="1">
      <alignment horizontal="left" vertical="center" wrapText="1" indent="4"/>
    </xf>
    <xf numFmtId="0" fontId="17"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49" fontId="62" fillId="0" borderId="5" xfId="0" applyNumberFormat="1" applyFont="1" applyBorder="1" applyAlignment="1">
      <alignment horizontal="left" vertical="center"/>
    </xf>
    <xf numFmtId="49" fontId="17" fillId="0" borderId="6" xfId="0" applyNumberFormat="1" applyFont="1" applyBorder="1" applyAlignment="1">
      <alignment horizontal="left" vertical="center" indent="4"/>
    </xf>
    <xf numFmtId="49" fontId="17" fillId="0" borderId="6"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4" fontId="2" fillId="0" borderId="26"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17"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17"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17" fillId="0" borderId="3" xfId="0" applyNumberFormat="1" applyFont="1" applyBorder="1" applyAlignment="1">
      <alignment horizontal="left" vertical="center" wrapText="1" indent="5"/>
    </xf>
    <xf numFmtId="49" fontId="40" fillId="0" borderId="15" xfId="0" applyNumberFormat="1" applyFont="1" applyBorder="1">
      <alignment vertical="top"/>
    </xf>
    <xf numFmtId="49" fontId="17" fillId="0" borderId="15" xfId="0" applyNumberFormat="1" applyFont="1" applyBorder="1">
      <alignment vertical="top"/>
    </xf>
    <xf numFmtId="0" fontId="2" fillId="0" borderId="3" xfId="0" applyNumberFormat="1" applyFont="1" applyBorder="1" applyAlignment="1">
      <alignment horizontal="left" vertical="center" wrapText="1" indent="1"/>
    </xf>
    <xf numFmtId="4" fontId="17" fillId="0" borderId="3" xfId="0" applyNumberFormat="1" applyFont="1" applyBorder="1" applyAlignment="1">
      <alignment horizontal="right" vertical="center" wrapText="1"/>
    </xf>
    <xf numFmtId="165" fontId="17"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17"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7" xfId="0" applyNumberFormat="1" applyFont="1" applyFill="1" applyBorder="1" applyAlignment="1">
      <alignment horizontal="center" vertical="center" wrapText="1"/>
    </xf>
    <xf numFmtId="49" fontId="16" fillId="0" borderId="0" xfId="0" applyNumberFormat="1" applyFont="1" applyAlignment="1">
      <alignment vertical="center" wrapText="1"/>
    </xf>
    <xf numFmtId="0" fontId="16" fillId="0" borderId="0" xfId="0" applyNumberFormat="1" applyFont="1" applyAlignment="1">
      <alignment horizontal="center" vertical="center" wrapText="1"/>
    </xf>
    <xf numFmtId="0" fontId="26" fillId="6" borderId="0" xfId="0" applyNumberFormat="1" applyFont="1" applyFill="1" applyAlignment="1">
      <alignment horizontal="center" vertical="center" wrapText="1"/>
    </xf>
    <xf numFmtId="0" fontId="26" fillId="0" borderId="0" xfId="0" applyNumberFormat="1" applyFont="1" applyAlignment="1">
      <alignment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6"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17"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4"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9" fillId="8" borderId="19" xfId="0" applyNumberFormat="1" applyFont="1" applyFill="1" applyBorder="1" applyAlignment="1">
      <alignment horizontal="left" vertical="center"/>
    </xf>
    <xf numFmtId="49" fontId="17" fillId="0" borderId="5" xfId="0" applyNumberFormat="1" applyFont="1" applyBorder="1" applyAlignment="1">
      <alignment horizontal="left" vertical="center" wrapText="1"/>
    </xf>
    <xf numFmtId="0" fontId="17" fillId="0" borderId="5" xfId="0" applyNumberFormat="1" applyFont="1" applyBorder="1" applyAlignment="1">
      <alignment horizontal="left" vertical="center"/>
    </xf>
    <xf numFmtId="0" fontId="17"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7" xfId="0" applyNumberFormat="1" applyFont="1" applyBorder="1" applyAlignment="1">
      <alignment horizontal="right" vertical="center" wrapText="1"/>
    </xf>
    <xf numFmtId="4" fontId="2" fillId="0" borderId="20" xfId="0" applyNumberFormat="1" applyFont="1" applyBorder="1" applyAlignment="1">
      <alignment horizontal="right" vertical="center" wrapText="1"/>
    </xf>
    <xf numFmtId="49" fontId="0" fillId="8" borderId="19" xfId="0" applyNumberFormat="1" applyFont="1" applyFill="1" applyBorder="1" applyAlignment="1">
      <alignment horizontal="center" vertical="center" wrapText="1"/>
    </xf>
    <xf numFmtId="0" fontId="75"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6"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17" fillId="0" borderId="0" xfId="0" applyNumberFormat="1" applyFont="1" applyAlignment="1">
      <alignment horizontal="center" vertical="center" wrapText="1"/>
    </xf>
    <xf numFmtId="0" fontId="47"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17"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17"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17"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6"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17" fillId="0" borderId="0" xfId="0" applyNumberFormat="1" applyFont="1" applyAlignment="1">
      <alignment horizontal="center" vertical="center" wrapText="1"/>
    </xf>
    <xf numFmtId="0" fontId="47"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17" fillId="0" borderId="0" xfId="0" applyNumberFormat="1" applyFont="1" applyAlignment="1">
      <alignment horizontal="center" vertical="center"/>
    </xf>
    <xf numFmtId="0" fontId="5"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76" fillId="0" borderId="0" xfId="0" applyNumberFormat="1" applyFont="1" applyAlignment="1">
      <alignment vertical="center" wrapText="1"/>
    </xf>
    <xf numFmtId="0" fontId="76" fillId="6" borderId="0" xfId="0" applyNumberFormat="1" applyFont="1" applyFill="1" applyAlignment="1">
      <alignment horizontal="center" vertical="center" wrapText="1"/>
    </xf>
    <xf numFmtId="0" fontId="17" fillId="6" borderId="3" xfId="0" applyNumberFormat="1" applyFont="1" applyFill="1" applyBorder="1" applyAlignment="1">
      <alignment horizontal="left" vertical="center" wrapText="1" indent="3"/>
    </xf>
    <xf numFmtId="49" fontId="9" fillId="8" borderId="17" xfId="0" applyNumberFormat="1" applyFont="1" applyFill="1" applyBorder="1" applyAlignment="1">
      <alignment horizontal="left" vertical="center"/>
    </xf>
    <xf numFmtId="0" fontId="76" fillId="0" borderId="0" xfId="0" applyNumberFormat="1" applyFont="1" applyAlignment="1">
      <alignment horizontal="center" vertical="center" wrapText="1"/>
    </xf>
    <xf numFmtId="49" fontId="17" fillId="0" borderId="0" xfId="0" applyNumberFormat="1" applyFont="1" applyAlignment="1">
      <alignment horizontal="left" vertical="center" wrapText="1" indent="1"/>
    </xf>
    <xf numFmtId="0" fontId="17" fillId="0" borderId="0" xfId="0" applyNumberFormat="1" applyFont="1" applyAlignment="1">
      <alignment horizontal="left" vertical="center" wrapText="1" indent="4"/>
    </xf>
    <xf numFmtId="0" fontId="17"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17" fillId="0" borderId="15" xfId="0" applyNumberFormat="1" applyFont="1" applyBorder="1" applyAlignment="1">
      <alignment horizontal="left" vertical="center" wrapText="1" indent="1"/>
    </xf>
    <xf numFmtId="0" fontId="16" fillId="0" borderId="0" xfId="0" applyNumberFormat="1" applyFont="1" applyAlignment="1">
      <alignment horizontal="left" vertical="center"/>
    </xf>
    <xf numFmtId="49" fontId="16" fillId="0" borderId="0" xfId="0" applyNumberFormat="1" applyFont="1" applyAlignment="1">
      <alignment horizontal="left" vertical="center"/>
    </xf>
    <xf numFmtId="0" fontId="16" fillId="0" borderId="0" xfId="0" applyNumberFormat="1" applyFont="1" applyAlignment="1">
      <alignment horizontal="left" vertical="center"/>
    </xf>
    <xf numFmtId="0" fontId="36" fillId="0" borderId="0" xfId="0" applyNumberFormat="1" applyFont="1" applyAlignment="1">
      <alignment horizontal="left" vertical="center"/>
    </xf>
    <xf numFmtId="0" fontId="17"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5" fillId="0" borderId="0" xfId="0" applyNumberFormat="1" applyFont="1" applyAlignment="1">
      <alignment horizontal="center" vertical="center" wrapText="1"/>
    </xf>
    <xf numFmtId="0" fontId="5" fillId="6" borderId="0" xfId="0" applyNumberFormat="1" applyFont="1" applyFill="1" applyAlignment="1">
      <alignment horizontal="center" vertical="center" wrapText="1"/>
    </xf>
    <xf numFmtId="49" fontId="16" fillId="0" borderId="0" xfId="0" applyNumberFormat="1" applyFont="1" applyAlignment="1">
      <alignment horizontal="left" vertical="center"/>
    </xf>
    <xf numFmtId="49" fontId="16" fillId="0" borderId="0" xfId="0" applyNumberFormat="1" applyFont="1" applyAlignment="1">
      <alignment horizontal="left" vertical="center"/>
    </xf>
    <xf numFmtId="49" fontId="16"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17" fillId="6" borderId="3" xfId="0" applyNumberFormat="1" applyFont="1" applyFill="1" applyBorder="1" applyAlignment="1">
      <alignment horizontal="center" vertical="center"/>
    </xf>
    <xf numFmtId="0" fontId="40"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1" fillId="6" borderId="0" xfId="0" applyNumberFormat="1" applyFont="1" applyFill="1" applyAlignment="1"/>
    <xf numFmtId="0" fontId="35"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77" fillId="0" borderId="0" xfId="0" applyNumberFormat="1" applyFont="1" applyAlignment="1">
      <alignment vertical="center"/>
    </xf>
    <xf numFmtId="0" fontId="77"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19" fillId="8" borderId="20" xfId="0" applyNumberFormat="1" applyFont="1" applyFill="1" applyBorder="1" applyAlignment="1">
      <alignment horizontal="right" vertical="center" wrapText="1"/>
    </xf>
    <xf numFmtId="49" fontId="0" fillId="8" borderId="17"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19" fillId="8" borderId="17" xfId="0" applyNumberFormat="1" applyFont="1" applyFill="1" applyBorder="1" applyAlignment="1">
      <alignment horizontal="right" vertical="center" wrapText="1"/>
    </xf>
    <xf numFmtId="49" fontId="23" fillId="10" borderId="14" xfId="0" applyNumberFormat="1" applyFont="1" applyFill="1" applyBorder="1" applyAlignment="1" applyProtection="1">
      <alignment horizontal="left" vertical="center" wrapText="1"/>
      <protection locked="0"/>
    </xf>
    <xf numFmtId="49" fontId="23" fillId="10" borderId="20" xfId="0" applyNumberFormat="1" applyFont="1" applyFill="1" applyBorder="1" applyAlignment="1" applyProtection="1">
      <alignment horizontal="left" vertical="center" wrapText="1"/>
      <protection locked="0"/>
    </xf>
    <xf numFmtId="49" fontId="23" fillId="8" borderId="17" xfId="0" applyNumberFormat="1" applyFont="1" applyFill="1" applyBorder="1" applyAlignment="1">
      <alignment horizontal="left" vertical="center" wrapText="1"/>
    </xf>
    <xf numFmtId="49" fontId="23" fillId="8" borderId="14" xfId="0" applyNumberFormat="1" applyFont="1" applyFill="1" applyBorder="1" applyAlignment="1">
      <alignment horizontal="left" vertical="center" wrapText="1"/>
    </xf>
    <xf numFmtId="0" fontId="17" fillId="0" borderId="17" xfId="0" applyNumberFormat="1" applyFont="1" applyBorder="1" applyAlignment="1">
      <alignment horizontal="center" vertical="center" wrapText="1"/>
    </xf>
    <xf numFmtId="0" fontId="17" fillId="0" borderId="0" xfId="0" applyNumberFormat="1" applyFont="1" applyAlignment="1">
      <alignment horizontal="center" vertical="center"/>
    </xf>
    <xf numFmtId="0" fontId="17" fillId="0" borderId="0" xfId="0" applyNumberFormat="1" applyFont="1" applyAlignment="1">
      <alignment horizontal="center" vertical="center"/>
    </xf>
    <xf numFmtId="0" fontId="25"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7"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6" fillId="6" borderId="0" xfId="0" applyNumberFormat="1" applyFont="1" applyFill="1" applyAlignment="1"/>
    <xf numFmtId="164" fontId="14" fillId="0" borderId="48" xfId="0" applyNumberFormat="1" applyFont="1" applyBorder="1" applyAlignment="1">
      <alignment horizontal="center" vertical="center" wrapText="1"/>
    </xf>
    <xf numFmtId="164" fontId="14" fillId="0" borderId="48" xfId="0" applyNumberFormat="1" applyFont="1" applyBorder="1" applyAlignment="1">
      <alignment horizontal="center" vertical="center" wrapText="1"/>
    </xf>
    <xf numFmtId="49" fontId="23" fillId="10" borderId="17"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17" fillId="0" borderId="0" xfId="0" applyNumberFormat="1" applyFont="1" applyAlignment="1">
      <alignment horizontal="center" vertical="center"/>
    </xf>
    <xf numFmtId="0" fontId="11" fillId="0" borderId="0" xfId="0" applyNumberFormat="1" applyFont="1" applyAlignment="1">
      <alignment vertical="center"/>
    </xf>
    <xf numFmtId="0" fontId="2" fillId="0" borderId="26"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6" xfId="0" applyNumberFormat="1" applyFont="1" applyBorder="1" applyAlignment="1">
      <alignment horizontal="left" vertical="center" wrapText="1"/>
    </xf>
    <xf numFmtId="49" fontId="2" fillId="0" borderId="26"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49" fontId="2" fillId="0" borderId="26"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9" fillId="0" borderId="14" xfId="0" applyNumberFormat="1" applyFont="1" applyBorder="1" applyAlignment="1">
      <alignment horizontal="left" vertical="center"/>
    </xf>
    <xf numFmtId="0" fontId="9" fillId="8" borderId="5" xfId="0" applyNumberFormat="1" applyFont="1" applyFill="1" applyBorder="1" applyAlignment="1">
      <alignment horizontal="left" vertical="center"/>
    </xf>
    <xf numFmtId="0" fontId="9" fillId="0" borderId="26" xfId="0" applyNumberFormat="1" applyFont="1" applyBorder="1" applyAlignment="1">
      <alignment horizontal="left" vertical="center"/>
    </xf>
    <xf numFmtId="0" fontId="9" fillId="8" borderId="27" xfId="0" applyNumberFormat="1" applyFont="1" applyFill="1" applyBorder="1" applyAlignment="1">
      <alignment horizontal="left" vertical="center"/>
    </xf>
    <xf numFmtId="49" fontId="34" fillId="8" borderId="5" xfId="0" applyNumberFormat="1" applyFont="1" applyFill="1" applyBorder="1">
      <alignment vertical="top"/>
    </xf>
    <xf numFmtId="49" fontId="34"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7" xfId="0" applyNumberFormat="1" applyFont="1" applyBorder="1" applyAlignment="1">
      <alignment horizontal="center" vertical="center" wrapText="1"/>
    </xf>
    <xf numFmtId="49" fontId="0" fillId="0" borderId="0" xfId="0" applyNumberFormat="1" applyFont="1">
      <alignment vertical="top"/>
    </xf>
    <xf numFmtId="49" fontId="16" fillId="0" borderId="0" xfId="0" applyNumberFormat="1" applyFont="1" applyAlignment="1">
      <alignment horizontal="center" vertical="center"/>
    </xf>
    <xf numFmtId="0" fontId="78" fillId="0" borderId="0" xfId="0" applyNumberFormat="1" applyFont="1" applyAlignment="1">
      <alignment vertical="center" wrapText="1"/>
    </xf>
    <xf numFmtId="0" fontId="79"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5"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9" fillId="0" borderId="0" xfId="0" applyNumberFormat="1" applyFont="1" applyAlignment="1">
      <alignment horizontal="left" vertical="center"/>
    </xf>
    <xf numFmtId="49" fontId="5" fillId="0" borderId="0" xfId="0" applyNumberFormat="1" applyFont="1" applyAlignment="1">
      <alignment horizontal="center" vertical="center" wrapText="1"/>
    </xf>
    <xf numFmtId="0" fontId="9" fillId="0" borderId="0" xfId="0" applyNumberFormat="1" applyFont="1" applyAlignment="1">
      <alignment vertical="center"/>
    </xf>
    <xf numFmtId="49" fontId="34" fillId="0" borderId="20" xfId="0" applyNumberFormat="1" applyFont="1" applyBorder="1">
      <alignment vertical="top"/>
    </xf>
    <xf numFmtId="49" fontId="2" fillId="0" borderId="27" xfId="0" applyNumberFormat="1" applyFont="1" applyBorder="1" applyAlignment="1">
      <alignment vertical="center" wrapText="1"/>
    </xf>
    <xf numFmtId="49" fontId="2" fillId="0" borderId="13" xfId="0" applyNumberFormat="1" applyFont="1" applyBorder="1" applyAlignment="1">
      <alignment vertical="center" wrapText="1"/>
    </xf>
    <xf numFmtId="0" fontId="9" fillId="0" borderId="13" xfId="0" applyNumberFormat="1" applyFont="1" applyBorder="1" applyAlignment="1">
      <alignment horizontal="left" vertical="center"/>
    </xf>
    <xf numFmtId="49" fontId="34" fillId="0" borderId="17" xfId="0" applyNumberFormat="1" applyFont="1" applyBorder="1">
      <alignment vertical="top"/>
    </xf>
    <xf numFmtId="49" fontId="2" fillId="0" borderId="26" xfId="0" applyNumberFormat="1" applyFont="1" applyBorder="1" applyAlignment="1">
      <alignment horizontal="center" vertical="center" wrapText="1"/>
    </xf>
    <xf numFmtId="0" fontId="9" fillId="8" borderId="27"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28" fillId="0" borderId="0" xfId="0" applyNumberFormat="1" applyFont="1" applyAlignment="1">
      <alignment vertical="center" wrapText="1"/>
    </xf>
    <xf numFmtId="0" fontId="17" fillId="0" borderId="0" xfId="0" applyNumberFormat="1" applyFont="1" applyAlignment="1">
      <alignment vertical="center" wrapText="1"/>
    </xf>
    <xf numFmtId="0" fontId="32"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5" fillId="6" borderId="3" xfId="0" applyNumberFormat="1" applyFont="1" applyFill="1" applyBorder="1" applyAlignment="1">
      <alignment horizontal="center" vertical="center" wrapText="1"/>
    </xf>
    <xf numFmtId="0" fontId="5"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17"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pplyAlignment="1">
      <alignment vertical="center"/>
    </xf>
    <xf numFmtId="0" fontId="5" fillId="6" borderId="3" xfId="0" applyNumberFormat="1" applyFont="1" applyFill="1" applyBorder="1" applyAlignment="1">
      <alignment horizontal="center" vertical="center" wrapText="1"/>
    </xf>
    <xf numFmtId="0" fontId="2" fillId="0" borderId="8" xfId="0" applyNumberFormat="1" applyFont="1" applyBorder="1" applyAlignment="1">
      <alignment horizontal="left" vertical="center" wrapText="1" indent="1"/>
    </xf>
    <xf numFmtId="49" fontId="2" fillId="0" borderId="4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5"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4" fillId="0" borderId="0" xfId="0" applyNumberFormat="1" applyFont="1" applyAlignment="1">
      <alignment vertical="center"/>
    </xf>
    <xf numFmtId="0" fontId="17"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17"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17" fillId="0" borderId="5" xfId="0" applyNumberFormat="1" applyFont="1" applyBorder="1" applyAlignment="1">
      <alignment vertical="center" wrapText="1"/>
    </xf>
    <xf numFmtId="0" fontId="17" fillId="0" borderId="5" xfId="0" applyNumberFormat="1" applyFont="1" applyBorder="1" applyAlignment="1">
      <alignment horizontal="left" vertical="top" wrapText="1"/>
    </xf>
    <xf numFmtId="49" fontId="2" fillId="0" borderId="50"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9"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1"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9" fillId="0" borderId="10" xfId="0" applyNumberFormat="1" applyFont="1" applyBorder="1" applyAlignment="1">
      <alignment horizontal="left" vertical="center"/>
    </xf>
    <xf numFmtId="49" fontId="9" fillId="0" borderId="10" xfId="0" applyNumberFormat="1" applyFont="1" applyBorder="1" applyAlignment="1">
      <alignment horizontal="left" vertical="center" indent="2"/>
    </xf>
    <xf numFmtId="49" fontId="13"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6"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5"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4"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4"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80"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17" fillId="0" borderId="0" xfId="0" applyNumberFormat="1" applyFont="1" applyAlignment="1">
      <alignment horizontal="center" vertical="center" wrapText="1"/>
    </xf>
    <xf numFmtId="167" fontId="17"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10" borderId="4" xfId="0" applyNumberFormat="1" applyFont="1" applyFill="1" applyBorder="1" applyAlignment="1" applyProtection="1">
      <alignment horizontal="left" vertical="center" wrapText="1"/>
      <protection locked="0"/>
    </xf>
    <xf numFmtId="0" fontId="2" fillId="5" borderId="20" xfId="0" applyNumberFormat="1" applyFont="1" applyFill="1" applyBorder="1" applyAlignment="1">
      <alignment horizontal="center"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0" fontId="2" fillId="5" borderId="20"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6" xfId="0" applyNumberFormat="1" applyFont="1" applyFill="1" applyBorder="1" applyAlignment="1">
      <alignment horizontal="left" vertical="top" wrapText="1" indent="1"/>
    </xf>
    <xf numFmtId="49" fontId="2" fillId="11" borderId="26" xfId="0" applyNumberFormat="1" applyFont="1" applyFill="1" applyBorder="1" applyAlignment="1">
      <alignment horizontal="center" vertical="top" wrapText="1"/>
    </xf>
    <xf numFmtId="49" fontId="0" fillId="10" borderId="26" xfId="0" applyNumberFormat="1" applyFont="1" applyFill="1" applyBorder="1" applyAlignment="1" applyProtection="1">
      <alignment horizontal="center" vertical="top" wrapText="1"/>
      <protection locked="0"/>
    </xf>
    <xf numFmtId="49" fontId="0" fillId="7" borderId="26" xfId="0" applyNumberFormat="1" applyFont="1" applyFill="1" applyBorder="1" applyAlignment="1" applyProtection="1">
      <alignment horizontal="center" vertical="top" wrapText="1"/>
      <protection locked="0"/>
    </xf>
    <xf numFmtId="49" fontId="2" fillId="11" borderId="26" xfId="0" applyNumberFormat="1" applyFont="1" applyFill="1" applyBorder="1" applyAlignment="1">
      <alignment horizontal="left" vertical="top" wrapText="1"/>
    </xf>
    <xf numFmtId="49" fontId="2" fillId="10" borderId="26" xfId="0" applyNumberFormat="1" applyFont="1" applyFill="1" applyBorder="1" applyAlignment="1" applyProtection="1">
      <alignment horizontal="left" vertical="top" wrapText="1"/>
      <protection locked="0"/>
    </xf>
    <xf numFmtId="49" fontId="0" fillId="5" borderId="26" xfId="0" applyNumberFormat="1" applyFont="1" applyFill="1" applyBorder="1" applyAlignment="1">
      <alignment horizontal="center" vertical="top" wrapText="1"/>
    </xf>
    <xf numFmtId="0" fontId="2" fillId="5" borderId="26" xfId="0" applyNumberFormat="1" applyFont="1" applyFill="1" applyBorder="1" applyAlignment="1">
      <alignment horizontal="center" vertical="top" wrapText="1"/>
    </xf>
    <xf numFmtId="0" fontId="2" fillId="7" borderId="26" xfId="0" applyNumberFormat="1" applyFont="1" applyFill="1" applyBorder="1" applyAlignment="1" applyProtection="1">
      <alignment horizontal="left" vertical="top" wrapText="1"/>
      <protection locked="0"/>
    </xf>
    <xf numFmtId="0" fontId="9" fillId="0" borderId="26" xfId="0" applyNumberFormat="1" applyFont="1" applyBorder="1" applyAlignment="1">
      <alignment horizontal="left" vertical="center"/>
    </xf>
    <xf numFmtId="0" fontId="9" fillId="7" borderId="26" xfId="0" applyNumberFormat="1" applyFont="1" applyFill="1" applyBorder="1" applyAlignment="1" applyProtection="1">
      <alignment horizontal="left" vertical="center"/>
      <protection locked="0"/>
    </xf>
    <xf numFmtId="0" fontId="9" fillId="10" borderId="26" xfId="0" applyNumberFormat="1" applyFont="1" applyFill="1" applyBorder="1" applyAlignment="1" applyProtection="1">
      <alignment horizontal="left" vertical="center"/>
      <protection locked="0"/>
    </xf>
    <xf numFmtId="14" fontId="2" fillId="11" borderId="26"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0" fillId="6" borderId="3" xfId="0" applyNumberFormat="1" applyFont="1" applyFill="1" applyBorder="1" applyAlignment="1">
      <alignment vertical="top" wrapText="1"/>
    </xf>
    <xf numFmtId="49" fontId="2" fillId="11" borderId="8" xfId="0" applyNumberFormat="1" applyFont="1" applyFill="1" applyBorder="1" applyAlignment="1">
      <alignment vertical="center" wrapText="1"/>
    </xf>
    <xf numFmtId="49" fontId="2" fillId="11" borderId="26"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6"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6" xfId="0" applyNumberFormat="1" applyFont="1" applyFill="1" applyBorder="1" applyAlignment="1">
      <alignment horizontal="center" vertical="center" wrapText="1"/>
    </xf>
    <xf numFmtId="0" fontId="9"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14"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6" fillId="0" borderId="0" xfId="0" applyNumberFormat="1" applyFont="1" applyAlignment="1">
      <alignment horizontal="center" vertical="top"/>
    </xf>
    <xf numFmtId="49" fontId="2" fillId="0" borderId="26"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4" fillId="0" borderId="3" xfId="0" applyNumberFormat="1" applyFont="1" applyBorder="1" applyAlignment="1">
      <alignment horizontal="center" vertical="center" wrapText="1"/>
    </xf>
    <xf numFmtId="49" fontId="9" fillId="8" borderId="41"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17"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6"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6"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4" fillId="0" borderId="4" xfId="0" applyNumberFormat="1" applyFont="1" applyBorder="1" applyAlignment="1">
      <alignment horizontal="center" vertical="center"/>
    </xf>
    <xf numFmtId="49" fontId="0" fillId="9" borderId="0" xfId="0" applyNumberFormat="1" applyFont="1" applyFill="1">
      <alignment vertical="top"/>
    </xf>
    <xf numFmtId="0" fontId="5" fillId="6" borderId="0" xfId="0" applyNumberFormat="1" applyFont="1" applyFill="1" applyAlignment="1">
      <alignment horizontal="center" vertical="center" wrapText="1"/>
    </xf>
    <xf numFmtId="0" fontId="5" fillId="6" borderId="0" xfId="0" applyNumberFormat="1" applyFont="1" applyFill="1" applyAlignment="1">
      <alignment horizontal="center"/>
    </xf>
    <xf numFmtId="0" fontId="5"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5" fillId="6" borderId="0" xfId="0" applyNumberFormat="1" applyFont="1" applyFill="1" applyAlignment="1">
      <alignment vertical="top" wrapText="1"/>
    </xf>
    <xf numFmtId="49" fontId="81" fillId="10" borderId="3"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5" xfId="0" applyNumberFormat="1" applyFont="1" applyBorder="1" applyAlignment="1">
      <alignment horizontal="center" vertical="center" wrapText="1"/>
    </xf>
    <xf numFmtId="49" fontId="82" fillId="0" borderId="0" xfId="0" applyNumberFormat="1" applyFont="1" applyAlignment="1">
      <alignment horizontal="center" vertical="top" wrapText="1"/>
    </xf>
    <xf numFmtId="49" fontId="0" fillId="5" borderId="26" xfId="0" applyNumberFormat="1" applyFont="1" applyFill="1" applyBorder="1">
      <alignment vertical="top"/>
    </xf>
    <xf numFmtId="49" fontId="0" fillId="0" borderId="26" xfId="0" applyNumberFormat="1" applyFont="1" applyBorder="1">
      <alignment vertical="top"/>
    </xf>
    <xf numFmtId="49" fontId="0" fillId="10" borderId="26"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82" fillId="0" borderId="26"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6" xfId="0" applyNumberFormat="1" applyFont="1" applyBorder="1" applyAlignment="1">
      <alignment horizontal="left" vertical="top"/>
    </xf>
    <xf numFmtId="49" fontId="0" fillId="11" borderId="26" xfId="0" applyNumberFormat="1" applyFont="1" applyFill="1" applyBorder="1" applyAlignment="1">
      <alignment horizontal="left" vertical="top"/>
    </xf>
    <xf numFmtId="49" fontId="0" fillId="7" borderId="26" xfId="0" applyNumberFormat="1" applyFont="1" applyFill="1" applyBorder="1" applyAlignment="1" applyProtection="1">
      <alignment horizontal="left" vertical="top"/>
      <protection locked="0"/>
    </xf>
    <xf numFmtId="49" fontId="0" fillId="11" borderId="26"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6"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7" xfId="0" applyNumberFormat="1" applyFont="1" applyBorder="1" applyAlignment="1">
      <alignment vertical="center"/>
    </xf>
    <xf numFmtId="49" fontId="5" fillId="0" borderId="26" xfId="0" applyNumberFormat="1" applyFont="1" applyBorder="1" applyAlignment="1">
      <alignment vertical="center" wrapText="1"/>
    </xf>
    <xf numFmtId="49" fontId="5" fillId="0" borderId="26" xfId="0" applyNumberFormat="1" applyFont="1" applyBorder="1" applyAlignment="1">
      <alignment horizontal="center"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6"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4" fillId="24" borderId="0" xfId="0" applyNumberFormat="1" applyFont="1" applyFill="1" applyAlignment="1">
      <alignment vertical="center" wrapText="1"/>
    </xf>
    <xf numFmtId="0" fontId="16"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6"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6" fillId="0" borderId="0" xfId="0" applyNumberFormat="1" applyFont="1" applyAlignment="1">
      <alignment horizontal="center" vertical="center" wrapText="1"/>
    </xf>
    <xf numFmtId="0" fontId="16"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0" fillId="0" borderId="0" xfId="0" applyNumberFormat="1" applyFont="1">
      <alignment vertical="top"/>
    </xf>
    <xf numFmtId="0" fontId="17" fillId="0" borderId="0" xfId="0" applyNumberFormat="1" applyFont="1" applyAlignment="1">
      <alignment vertical="center" wrapText="1"/>
    </xf>
    <xf numFmtId="0" fontId="40" fillId="0" borderId="0" xfId="0" applyNumberFormat="1" applyFont="1" applyAlignment="1">
      <alignment vertical="center" wrapText="1"/>
    </xf>
    <xf numFmtId="0" fontId="17" fillId="0" borderId="0" xfId="0" applyNumberFormat="1" applyFont="1" applyAlignment="1">
      <alignment vertical="center" wrapText="1"/>
    </xf>
    <xf numFmtId="0" fontId="26"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vertical="center" wrapText="1"/>
    </xf>
    <xf numFmtId="0" fontId="16" fillId="0" borderId="0" xfId="0" applyNumberFormat="1" applyFont="1" applyAlignment="1">
      <alignment vertical="center" wrapText="1"/>
    </xf>
    <xf numFmtId="0" fontId="2" fillId="0" borderId="0" xfId="0" applyNumberFormat="1" applyFont="1" applyAlignment="1">
      <alignment vertical="center" wrapText="1"/>
    </xf>
    <xf numFmtId="0" fontId="17" fillId="0" borderId="0" xfId="0" applyNumberFormat="1" applyFont="1" applyAlignment="1">
      <alignment vertical="center"/>
    </xf>
    <xf numFmtId="0" fontId="17" fillId="0" borderId="0" xfId="0" applyNumberFormat="1" applyFont="1" applyAlignment="1">
      <alignment vertical="center"/>
    </xf>
    <xf numFmtId="0" fontId="25" fillId="0" borderId="0" xfId="0" applyNumberFormat="1" applyFont="1" applyAlignment="1">
      <alignment vertical="center"/>
    </xf>
    <xf numFmtId="0" fontId="11" fillId="0" borderId="0" xfId="0" applyNumberFormat="1" applyFont="1" applyAlignment="1">
      <alignment vertical="center" wrapText="1"/>
    </xf>
    <xf numFmtId="0" fontId="17" fillId="0" borderId="0" xfId="0" applyNumberFormat="1" applyFont="1" applyAlignment="1">
      <alignment vertical="center"/>
    </xf>
    <xf numFmtId="49" fontId="0" fillId="0" borderId="0" xfId="0" applyNumberFormat="1" applyFont="1">
      <alignment vertical="top"/>
    </xf>
    <xf numFmtId="49" fontId="17" fillId="0" borderId="0" xfId="0" applyNumberFormat="1" applyFont="1">
      <alignment vertical="top"/>
    </xf>
    <xf numFmtId="0" fontId="5"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16" fillId="0" borderId="0" xfId="0" applyNumberFormat="1" applyFont="1" applyAlignment="1">
      <alignment vertical="center"/>
    </xf>
    <xf numFmtId="0" fontId="10" fillId="0" borderId="0" xfId="0" applyNumberFormat="1" applyFont="1" applyAlignment="1">
      <alignment vertical="center"/>
    </xf>
    <xf numFmtId="49" fontId="0" fillId="0" borderId="0" xfId="0" applyNumberFormat="1" applyFont="1">
      <alignment vertical="top"/>
    </xf>
    <xf numFmtId="0" fontId="10" fillId="0" borderId="0" xfId="0" applyNumberFormat="1" applyFont="1" applyAlignment="1">
      <alignment vertical="center"/>
    </xf>
    <xf numFmtId="0" fontId="34" fillId="0" borderId="0" xfId="0" applyNumberFormat="1" applyFont="1" applyAlignment="1">
      <alignment vertical="center"/>
    </xf>
    <xf numFmtId="0" fontId="2" fillId="0" borderId="0" xfId="0" applyNumberFormat="1" applyFont="1" applyAlignment="1">
      <alignment vertical="center"/>
    </xf>
    <xf numFmtId="0" fontId="17"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17" fillId="0" borderId="0" xfId="0" applyNumberFormat="1" applyFont="1" applyAlignment="1">
      <alignment horizontal="center" vertical="center"/>
    </xf>
    <xf numFmtId="49" fontId="34"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1"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0" fillId="6" borderId="0" xfId="0" applyNumberFormat="1" applyFont="1" applyFill="1" applyAlignment="1"/>
    <xf numFmtId="0" fontId="17" fillId="6" borderId="0" xfId="0" applyNumberFormat="1" applyFont="1" applyFill="1" applyAlignment="1"/>
    <xf numFmtId="0" fontId="43"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55" fillId="0" borderId="0" xfId="0" applyNumberFormat="1" applyFont="1" applyAlignment="1">
      <alignment vertical="center" wrapText="1"/>
    </xf>
    <xf numFmtId="0" fontId="3" fillId="0" borderId="0" xfId="0" applyNumberFormat="1" applyFont="1" applyAlignment="1">
      <alignment vertical="center" wrapText="1"/>
    </xf>
    <xf numFmtId="0" fontId="29" fillId="0" borderId="0" xfId="0" applyNumberFormat="1" applyFont="1" applyAlignment="1">
      <alignment vertical="center" wrapText="1"/>
    </xf>
    <xf numFmtId="0" fontId="17"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5" fillId="0" borderId="0" xfId="0" applyNumberFormat="1" applyFont="1" applyAlignment="1">
      <alignment horizontal="center" vertical="center" wrapText="1"/>
    </xf>
    <xf numFmtId="0"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vertical="center" wrapText="1"/>
    </xf>
    <xf numFmtId="0" fontId="55" fillId="0" borderId="0" xfId="0" applyNumberFormat="1" applyFont="1" applyAlignment="1">
      <alignment vertical="center" wrapText="1"/>
    </xf>
    <xf numFmtId="0" fontId="17" fillId="0" borderId="0" xfId="0" applyNumberFormat="1" applyFont="1" applyAlignment="1">
      <alignment vertical="center" wrapText="1"/>
    </xf>
    <xf numFmtId="0" fontId="29"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17" fillId="0" borderId="0" xfId="0" applyNumberFormat="1" applyFont="1" applyAlignment="1">
      <alignment vertical="center" wrapText="1"/>
    </xf>
    <xf numFmtId="0" fontId="16" fillId="0" borderId="0" xfId="0" applyNumberFormat="1" applyFont="1" applyAlignment="1">
      <alignment vertical="center" wrapText="1"/>
    </xf>
    <xf numFmtId="0" fontId="16" fillId="0" borderId="0" xfId="0" applyNumberFormat="1" applyFont="1" applyAlignment="1">
      <alignment horizontal="center" vertical="center" wrapText="1"/>
    </xf>
    <xf numFmtId="49" fontId="16" fillId="0" borderId="0" xfId="0" applyNumberFormat="1" applyFont="1" applyAlignment="1">
      <alignment vertical="center" wrapText="1"/>
    </xf>
    <xf numFmtId="0" fontId="36" fillId="0" borderId="0" xfId="0" applyNumberFormat="1" applyFont="1" applyAlignment="1">
      <alignment vertical="center" wrapText="1"/>
    </xf>
    <xf numFmtId="0" fontId="16"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8"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17" fillId="0" borderId="0" xfId="0" applyNumberFormat="1" applyFont="1" applyAlignment="1">
      <alignment vertical="center" wrapText="1"/>
    </xf>
    <xf numFmtId="0" fontId="2" fillId="0" borderId="0" xfId="0" applyNumberFormat="1" applyFont="1" applyAlignment="1">
      <alignment horizontal="center" vertical="center" wrapText="1"/>
    </xf>
    <xf numFmtId="0" fontId="16" fillId="0" borderId="0" xfId="0" applyNumberFormat="1" applyFont="1" applyAlignment="1">
      <alignment horizontal="left" vertical="center"/>
    </xf>
    <xf numFmtId="0" fontId="16" fillId="0" borderId="0" xfId="0" applyNumberFormat="1" applyFont="1" applyAlignment="1">
      <alignment horizontal="center" vertical="center" wrapText="1"/>
    </xf>
    <xf numFmtId="49" fontId="2" fillId="0" borderId="0" xfId="0" applyNumberFormat="1" applyFont="1" applyAlignment="1">
      <alignment vertical="center" wrapText="1"/>
    </xf>
    <xf numFmtId="0" fontId="16" fillId="0" borderId="0" xfId="0" applyNumberFormat="1" applyFont="1" applyAlignment="1">
      <alignment horizontal="center" vertical="center" wrapText="1"/>
    </xf>
    <xf numFmtId="49" fontId="2" fillId="0" borderId="0" xfId="0" applyNumberFormat="1" applyFont="1" applyAlignment="1">
      <alignment vertical="center" wrapText="1"/>
    </xf>
    <xf numFmtId="0" fontId="16" fillId="0" borderId="0" xfId="0" applyNumberFormat="1" applyFont="1" applyAlignment="1">
      <alignment horizontal="center" vertical="center" wrapText="1"/>
    </xf>
    <xf numFmtId="0" fontId="16"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17" fillId="0" borderId="0" xfId="0" applyNumberFormat="1" applyFont="1" applyAlignment="1">
      <alignment vertical="center" wrapText="1"/>
    </xf>
    <xf numFmtId="0" fontId="17" fillId="0" borderId="3" xfId="0" applyNumberFormat="1" applyFont="1" applyBorder="1" applyAlignment="1">
      <alignment horizontal="center" vertical="center" wrapText="1"/>
    </xf>
    <xf numFmtId="4" fontId="2" fillId="7" borderId="3" xfId="0" applyNumberFormat="1" applyFont="1" applyFill="1" applyBorder="1" applyAlignment="1" applyProtection="1">
      <alignment horizontal="right" vertical="center" wrapText="1"/>
      <protection locked="0"/>
    </xf>
    <xf numFmtId="0" fontId="2" fillId="7" borderId="3" xfId="0" applyNumberFormat="1" applyFont="1" applyFill="1" applyBorder="1" applyAlignment="1" applyProtection="1">
      <alignment horizontal="left" vertical="center" wrapText="1"/>
      <protection locked="0"/>
    </xf>
    <xf numFmtId="49" fontId="58" fillId="0" borderId="0" xfId="0" applyNumberFormat="1" applyFont="1" applyAlignment="1">
      <alignment horizontal="center" vertical="center" wrapText="1"/>
    </xf>
    <xf numFmtId="0" fontId="16" fillId="0" borderId="0" xfId="0" applyNumberFormat="1" applyFont="1" applyAlignment="1">
      <alignment vertical="center" wrapText="1"/>
    </xf>
    <xf numFmtId="0" fontId="24"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3" fillId="0" borderId="0" xfId="0" applyNumberFormat="1" applyFont="1" applyAlignment="1">
      <alignment vertical="center" wrapText="1"/>
    </xf>
    <xf numFmtId="0" fontId="2" fillId="0" borderId="10" xfId="0" applyNumberFormat="1" applyFont="1" applyBorder="1" applyAlignment="1">
      <alignment horizontal="left" vertical="top" wrapText="1" indent="1"/>
    </xf>
    <xf numFmtId="0" fontId="2" fillId="0" borderId="17" xfId="0" applyNumberFormat="1" applyFont="1" applyBorder="1" applyAlignment="1">
      <alignment horizontal="left" vertical="center" wrapText="1" indent="1"/>
    </xf>
    <xf numFmtId="0" fontId="2" fillId="0" borderId="0" xfId="0" applyNumberFormat="1" applyFont="1" applyAlignment="1">
      <alignment horizontal="left" vertical="center" wrapText="1" indent="3"/>
    </xf>
    <xf numFmtId="0" fontId="62" fillId="6" borderId="0" xfId="0" applyNumberFormat="1" applyFont="1" applyFill="1" applyAlignment="1">
      <alignment horizontal="right" vertical="center"/>
    </xf>
    <xf numFmtId="0" fontId="2" fillId="5" borderId="5" xfId="0" applyNumberFormat="1" applyFont="1" applyFill="1" applyBorder="1" applyAlignment="1">
      <alignment horizontal="left" vertical="top" wrapText="1"/>
    </xf>
    <xf numFmtId="0" fontId="2" fillId="0" borderId="6" xfId="0" applyNumberFormat="1" applyFont="1" applyBorder="1" applyAlignment="1">
      <alignment horizontal="right" vertical="center" wrapText="1" inden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40" fillId="0" borderId="0" xfId="0" applyNumberFormat="1" applyFont="1" applyAlignment="1">
      <alignment vertical="center" wrapText="1"/>
    </xf>
    <xf numFmtId="49" fontId="40" fillId="0" borderId="3" xfId="0" applyNumberFormat="1" applyFont="1" applyBorder="1" applyAlignment="1">
      <alignment horizontal="left" vertical="center" wrapText="1"/>
    </xf>
    <xf numFmtId="4" fontId="40" fillId="0" borderId="3" xfId="0" applyNumberFormat="1" applyFont="1" applyBorder="1" applyAlignment="1">
      <alignment horizontal="right" vertical="center" wrapText="1"/>
    </xf>
    <xf numFmtId="0" fontId="16" fillId="8" borderId="4" xfId="0" applyNumberFormat="1" applyFont="1" applyFill="1" applyBorder="1" applyAlignment="1">
      <alignment vertical="center" wrapText="1"/>
    </xf>
    <xf numFmtId="166" fontId="2" fillId="10" borderId="3" xfId="0" applyNumberFormat="1" applyFont="1" applyFill="1" applyBorder="1" applyAlignment="1" applyProtection="1">
      <alignment horizontal="right" vertical="center" wrapText="1"/>
      <protection locked="0"/>
    </xf>
    <xf numFmtId="49" fontId="2" fillId="11" borderId="3" xfId="0" applyNumberFormat="1" applyFont="1" applyFill="1" applyBorder="1" applyAlignment="1">
      <alignment horizontal="left" vertical="center" wrapText="1"/>
    </xf>
    <xf numFmtId="4" fontId="2" fillId="5" borderId="8" xfId="0" applyNumberFormat="1" applyFont="1" applyFill="1" applyBorder="1" applyAlignment="1">
      <alignment horizontal="right" vertical="center" wrapText="1"/>
    </xf>
    <xf numFmtId="49" fontId="17" fillId="0" borderId="3" xfId="0" applyNumberFormat="1" applyFont="1" applyBorder="1" applyAlignment="1">
      <alignment vertical="center" wrapText="1"/>
    </xf>
    <xf numFmtId="0" fontId="16" fillId="8" borderId="4" xfId="0" applyNumberFormat="1" applyFont="1" applyFill="1" applyBorder="1" applyAlignment="1">
      <alignment vertical="center" wrapText="1"/>
    </xf>
    <xf numFmtId="4" fontId="2" fillId="10" borderId="4" xfId="0" applyNumberFormat="1" applyFont="1" applyFill="1" applyBorder="1" applyAlignment="1" applyProtection="1">
      <alignment horizontal="right" vertical="center" wrapText="1"/>
      <protection locked="0"/>
    </xf>
    <xf numFmtId="49" fontId="23" fillId="7" borderId="4" xfId="0" applyNumberFormat="1" applyFont="1" applyFill="1" applyBorder="1" applyAlignment="1" applyProtection="1">
      <alignment horizontal="left" vertical="center" wrapText="1"/>
      <protection locked="0"/>
    </xf>
    <xf numFmtId="0" fontId="16" fillId="0" borderId="0" xfId="0" applyNumberFormat="1" applyFont="1" applyAlignment="1">
      <alignment vertical="center" wrapText="1"/>
    </xf>
    <xf numFmtId="166" fontId="2" fillId="10" borderId="4" xfId="0" applyNumberFormat="1" applyFont="1" applyFill="1" applyBorder="1" applyAlignment="1" applyProtection="1">
      <alignment horizontal="right" vertical="center" wrapText="1"/>
      <protection locked="0"/>
    </xf>
    <xf numFmtId="0" fontId="2" fillId="0" borderId="0" xfId="0" applyNumberFormat="1" applyFont="1" applyAlignment="1">
      <alignment vertical="center" wrapText="1"/>
    </xf>
    <xf numFmtId="166" fontId="2" fillId="5" borderId="4" xfId="0" applyNumberFormat="1" applyFont="1" applyFill="1" applyBorder="1" applyAlignment="1">
      <alignment horizontal="right" vertical="center" wrapText="1"/>
    </xf>
    <xf numFmtId="4" fontId="2" fillId="10" borderId="19" xfId="0" applyNumberFormat="1" applyFont="1" applyFill="1" applyBorder="1" applyAlignment="1" applyProtection="1">
      <alignment horizontal="right" vertical="center" wrapText="1"/>
      <protection locked="0"/>
    </xf>
    <xf numFmtId="0" fontId="16" fillId="8" borderId="4" xfId="0" applyNumberFormat="1" applyFont="1" applyFill="1" applyBorder="1" applyAlignment="1">
      <alignment vertical="center" wrapText="1"/>
    </xf>
    <xf numFmtId="166" fontId="2" fillId="10" borderId="8" xfId="0" applyNumberFormat="1" applyFont="1" applyFill="1" applyBorder="1" applyAlignment="1" applyProtection="1">
      <alignment horizontal="right" vertical="center" wrapText="1"/>
      <protection locked="0"/>
    </xf>
    <xf numFmtId="0" fontId="16" fillId="8" borderId="4" xfId="0" applyNumberFormat="1" applyFont="1" applyFill="1" applyBorder="1" applyAlignment="1">
      <alignment vertical="center" wrapText="1"/>
    </xf>
    <xf numFmtId="0" fontId="16" fillId="8" borderId="4" xfId="0" applyNumberFormat="1" applyFont="1" applyFill="1" applyBorder="1" applyAlignment="1">
      <alignment vertical="center" wrapText="1"/>
    </xf>
    <xf numFmtId="0" fontId="16" fillId="8" borderId="4" xfId="0" applyNumberFormat="1" applyFont="1" applyFill="1" applyBorder="1" applyAlignment="1">
      <alignment vertical="center" wrapText="1"/>
    </xf>
    <xf numFmtId="49" fontId="23" fillId="7"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top" wrapText="1"/>
    </xf>
    <xf numFmtId="0" fontId="2" fillId="0" borderId="0" xfId="0" applyNumberFormat="1" applyFont="1" applyAlignment="1">
      <alignment vertical="top" wrapText="1"/>
    </xf>
    <xf numFmtId="0" fontId="40" fillId="0" borderId="0" xfId="0" applyNumberFormat="1" applyFont="1" applyAlignment="1">
      <alignment vertical="center" wrapText="1"/>
    </xf>
    <xf numFmtId="0" fontId="31"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17"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6" fillId="0" borderId="0" xfId="0" applyNumberFormat="1" applyFont="1" applyAlignment="1">
      <alignment horizontal="center" vertical="center" wrapText="1"/>
    </xf>
    <xf numFmtId="0" fontId="37" fillId="6" borderId="0" xfId="0" applyNumberFormat="1" applyFont="1" applyFill="1" applyAlignment="1">
      <alignment horizontal="right" vertical="center"/>
    </xf>
    <xf numFmtId="0" fontId="17" fillId="0" borderId="17" xfId="0" applyNumberFormat="1" applyFont="1" applyBorder="1" applyAlignment="1">
      <alignment vertical="center" wrapText="1"/>
    </xf>
    <xf numFmtId="0" fontId="2" fillId="0" borderId="6" xfId="0"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23" fillId="7" borderId="5"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3" fontId="2" fillId="7" borderId="5" xfId="0" applyNumberFormat="1" applyFont="1" applyFill="1" applyBorder="1" applyAlignment="1" applyProtection="1">
      <alignment horizontal="right" vertical="center" wrapText="1"/>
      <protection locked="0"/>
    </xf>
    <xf numFmtId="4" fontId="2" fillId="7" borderId="5" xfId="0" applyNumberFormat="1" applyFont="1" applyFill="1" applyBorder="1" applyAlignment="1" applyProtection="1">
      <alignment horizontal="right" vertical="center" wrapText="1"/>
      <protection locked="0"/>
    </xf>
    <xf numFmtId="49" fontId="2"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50" fillId="0" borderId="0" xfId="0" applyNumberFormat="1" applyFont="1" applyAlignment="1">
      <alignment vertical="center" wrapText="1"/>
    </xf>
    <xf numFmtId="3" fontId="14" fillId="7" borderId="3" xfId="0" applyNumberFormat="1" applyFont="1" applyFill="1" applyBorder="1" applyAlignment="1" applyProtection="1">
      <alignment horizontal="right" vertical="center"/>
      <protection locked="0"/>
    </xf>
    <xf numFmtId="49" fontId="2" fillId="7" borderId="5"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49" fontId="23" fillId="0" borderId="3" xfId="0" applyNumberFormat="1" applyFont="1" applyBorder="1" applyAlignment="1">
      <alignment horizontal="left" vertical="center" wrapText="1"/>
    </xf>
    <xf numFmtId="4" fontId="2" fillId="0" borderId="30" xfId="0" applyNumberFormat="1" applyFont="1" applyBorder="1" applyAlignment="1">
      <alignment horizontal="center" vertical="center" wrapText="1"/>
    </xf>
    <xf numFmtId="49" fontId="23" fillId="0" borderId="20" xfId="0" applyNumberFormat="1" applyFont="1" applyBorder="1" applyAlignment="1">
      <alignment horizontal="left" vertical="center" wrapText="1"/>
    </xf>
    <xf numFmtId="4" fontId="2" fillId="10" borderId="21" xfId="0" applyNumberFormat="1" applyFont="1" applyFill="1" applyBorder="1" applyAlignment="1" applyProtection="1">
      <alignment horizontal="right" vertical="center" wrapText="1"/>
      <protection locked="0"/>
    </xf>
    <xf numFmtId="49" fontId="23" fillId="0" borderId="5" xfId="0" applyNumberFormat="1" applyFont="1" applyBorder="1" applyAlignment="1">
      <alignment horizontal="left" vertical="center" wrapText="1"/>
    </xf>
    <xf numFmtId="4" fontId="2" fillId="10" borderId="25"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center" vertical="center" wrapText="1"/>
    </xf>
    <xf numFmtId="49" fontId="23" fillId="0" borderId="6" xfId="0" applyNumberFormat="1" applyFont="1" applyBorder="1" applyAlignment="1">
      <alignment horizontal="left" vertical="center" wrapText="1"/>
    </xf>
    <xf numFmtId="4" fontId="2" fillId="10" borderId="14" xfId="0" applyNumberFormat="1" applyFont="1" applyFill="1" applyBorder="1" applyAlignment="1" applyProtection="1">
      <alignment horizontal="right" vertical="center" wrapText="1"/>
      <protection locked="0"/>
    </xf>
    <xf numFmtId="49" fontId="23" fillId="10" borderId="3" xfId="0" applyNumberFormat="1" applyFont="1" applyFill="1" applyBorder="1" applyAlignment="1" applyProtection="1">
      <alignment horizontal="left" vertical="center" wrapText="1"/>
      <protection locked="0"/>
    </xf>
    <xf numFmtId="49" fontId="23" fillId="0" borderId="27" xfId="0" applyNumberFormat="1" applyFont="1" applyBorder="1" applyAlignment="1">
      <alignment horizontal="left" vertical="center" wrapText="1"/>
    </xf>
    <xf numFmtId="4" fontId="2" fillId="10" borderId="5" xfId="0" applyNumberFormat="1" applyFont="1" applyFill="1" applyBorder="1" applyAlignment="1" applyProtection="1">
      <alignment horizontal="right" vertical="center" wrapText="1"/>
      <protection locked="0"/>
    </xf>
    <xf numFmtId="4" fontId="2" fillId="10" borderId="23" xfId="0" applyNumberFormat="1" applyFont="1" applyFill="1" applyBorder="1" applyAlignment="1" applyProtection="1">
      <alignment horizontal="right" vertical="center" wrapText="1"/>
      <protection locked="0"/>
    </xf>
    <xf numFmtId="4" fontId="2" fillId="10" borderId="24" xfId="0" applyNumberFormat="1" applyFont="1" applyFill="1" applyBorder="1" applyAlignment="1" applyProtection="1">
      <alignment horizontal="right" vertical="center" wrapText="1"/>
      <protection locked="0"/>
    </xf>
    <xf numFmtId="49" fontId="23" fillId="10" borderId="5"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center" vertical="center" wrapText="1"/>
    </xf>
    <xf numFmtId="0" fontId="4"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4" fillId="0" borderId="0" xfId="0" applyNumberFormat="1" applyFont="1" applyAlignment="1">
      <alignment vertical="center"/>
    </xf>
    <xf numFmtId="49" fontId="14"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9" fontId="14" fillId="0" borderId="0" xfId="0" applyNumberFormat="1" applyFont="1" applyAlignment="1">
      <alignment vertical="center" wrapText="1"/>
    </xf>
    <xf numFmtId="49" fontId="14" fillId="0" borderId="0" xfId="0" applyNumberFormat="1" applyFont="1" applyAlignment="1">
      <alignment vertical="center" wrapText="1"/>
    </xf>
    <xf numFmtId="49" fontId="64" fillId="0" borderId="0" xfId="0" applyNumberFormat="1" applyFont="1" applyAlignment="1">
      <alignment vertical="center" wrapText="1"/>
    </xf>
    <xf numFmtId="0" fontId="2" fillId="0" borderId="0" xfId="0" applyNumberFormat="1" applyFont="1" applyAlignment="1">
      <alignment vertical="center" wrapText="1"/>
    </xf>
    <xf numFmtId="0" fontId="16" fillId="0" borderId="0" xfId="0" applyNumberFormat="1" applyFont="1" applyAlignment="1">
      <alignment vertical="center" wrapText="1"/>
    </xf>
    <xf numFmtId="0" fontId="17" fillId="0" borderId="0" xfId="0" applyNumberFormat="1" applyFont="1" applyAlignment="1">
      <alignment vertical="center"/>
    </xf>
    <xf numFmtId="49" fontId="2" fillId="0" borderId="0" xfId="0" applyNumberFormat="1" applyFont="1" applyAlignment="1">
      <alignment vertical="center" wrapText="1"/>
    </xf>
    <xf numFmtId="0" fontId="8"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 fontId="2" fillId="0" borderId="0" xfId="0" applyNumberFormat="1" applyFont="1" applyAlignment="1">
      <alignment horizontal="right" vertical="center" wrapText="1"/>
    </xf>
    <xf numFmtId="3" fontId="2" fillId="0" borderId="5" xfId="0" applyNumberFormat="1" applyFont="1" applyBorder="1" applyAlignment="1">
      <alignment vertical="center" wrapText="1"/>
    </xf>
    <xf numFmtId="49" fontId="83" fillId="7" borderId="3" xfId="0" applyNumberFormat="1" applyFont="1" applyFill="1" applyBorder="1" applyAlignment="1" applyProtection="1">
      <alignment horizontal="left" vertical="center" wrapText="1"/>
      <protection locked="0"/>
    </xf>
    <xf numFmtId="49" fontId="83" fillId="7" borderId="3" xfId="0" applyNumberFormat="1" applyFont="1" applyFill="1" applyBorder="1" applyAlignment="1" applyProtection="1">
      <alignment horizontal="left" vertical="center" wrapText="1"/>
      <protection locked="0"/>
    </xf>
    <xf numFmtId="4" fontId="2" fillId="0" borderId="5" xfId="0" applyNumberFormat="1" applyFont="1" applyBorder="1" applyAlignment="1">
      <alignment horizontal="right" vertical="center" wrapText="1"/>
    </xf>
    <xf numFmtId="4" fontId="2" fillId="0" borderId="20" xfId="0" applyNumberFormat="1" applyFont="1" applyBorder="1" applyAlignment="1">
      <alignment horizontal="right" vertical="center" wrapText="1"/>
    </xf>
    <xf numFmtId="49" fontId="3" fillId="0" borderId="0" xfId="0" applyNumberFormat="1" applyFont="1">
      <alignment vertical="top"/>
    </xf>
    <xf numFmtId="49" fontId="2" fillId="0" borderId="0" xfId="0" applyNumberFormat="1" applyFont="1">
      <alignment vertical="top"/>
    </xf>
    <xf numFmtId="49" fontId="5"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5" fillId="0" borderId="0" xfId="0" applyNumberFormat="1" applyFont="1" applyAlignment="1">
      <alignment horizontal="center" vertical="center"/>
    </xf>
    <xf numFmtId="0" fontId="34" fillId="6" borderId="0" xfId="0" applyNumberFormat="1" applyFont="1" applyFill="1" applyAlignment="1"/>
    <xf numFmtId="49" fontId="0" fillId="0" borderId="0" xfId="0" applyNumberFormat="1" applyFont="1">
      <alignment vertical="top"/>
    </xf>
    <xf numFmtId="0" fontId="11"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1"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1" fillId="0" borderId="0" xfId="0" applyNumberFormat="1" applyFont="1" applyAlignment="1">
      <alignment vertical="top" wrapText="1"/>
    </xf>
    <xf numFmtId="49" fontId="61" fillId="0" borderId="0" xfId="0" applyNumberFormat="1" applyFont="1">
      <alignment vertical="top"/>
    </xf>
    <xf numFmtId="49" fontId="61" fillId="0" borderId="0" xfId="0" applyNumberFormat="1" applyFont="1" applyAlignment="1">
      <alignment horizontal="center" vertical="top" wrapText="1"/>
    </xf>
    <xf numFmtId="49" fontId="61" fillId="0" borderId="0" xfId="0" applyNumberFormat="1" applyFont="1" applyAlignment="1">
      <alignment horizontal="left" vertical="top" wrapText="1"/>
    </xf>
    <xf numFmtId="49" fontId="61" fillId="12" borderId="0" xfId="0" applyNumberFormat="1" applyFont="1" applyFill="1" applyAlignment="1">
      <alignment horizontal="left" vertical="top" wrapText="1"/>
    </xf>
    <xf numFmtId="0" fontId="61"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7" fillId="0" borderId="0" xfId="0" applyNumberFormat="1" applyFont="1" applyAlignment="1"/>
    <xf numFmtId="0" fontId="4"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17"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0" xfId="0" applyNumberFormat="1" applyFont="1" applyAlignment="1">
      <alignment horizontal="right" vertical="center" wrapText="1"/>
    </xf>
    <xf numFmtId="0" fontId="88" fillId="0" borderId="0" xfId="1" applyNumberFormat="1" applyFont="1" applyAlignment="1">
      <alignment vertical="center"/>
    </xf>
    <xf numFmtId="0" fontId="16" fillId="0" borderId="0" xfId="1" applyNumberFormat="1" applyFont="1" applyAlignment="1">
      <alignment vertical="center"/>
    </xf>
    <xf numFmtId="0" fontId="17" fillId="0" borderId="0" xfId="1" applyNumberFormat="1" applyFont="1" applyAlignment="1">
      <alignment vertical="center"/>
    </xf>
    <xf numFmtId="0" fontId="2" fillId="0" borderId="0" xfId="1" applyNumberFormat="1" applyFont="1" applyAlignment="1">
      <alignment vertical="center"/>
    </xf>
    <xf numFmtId="49" fontId="88" fillId="0" borderId="0" xfId="1" applyNumberFormat="1" applyFont="1">
      <alignment vertical="top"/>
    </xf>
    <xf numFmtId="0" fontId="53" fillId="0" borderId="0" xfId="1" applyNumberFormat="1" applyFont="1" applyAlignment="1">
      <alignment vertical="center"/>
    </xf>
    <xf numFmtId="0" fontId="18" fillId="0" borderId="0" xfId="1" applyNumberFormat="1" applyFont="1" applyAlignment="1">
      <alignment vertical="center"/>
    </xf>
    <xf numFmtId="0" fontId="73" fillId="0" borderId="0" xfId="1" applyNumberFormat="1" applyFont="1" applyAlignment="1">
      <alignment vertical="center"/>
    </xf>
    <xf numFmtId="0" fontId="10" fillId="0" borderId="0" xfId="1" applyNumberFormat="1" applyFont="1" applyAlignment="1">
      <alignment vertical="center"/>
    </xf>
    <xf numFmtId="0" fontId="2" fillId="0" borderId="0" xfId="1" applyNumberFormat="1" applyFont="1" applyAlignment="1">
      <alignment vertical="center" wrapText="1"/>
    </xf>
    <xf numFmtId="0" fontId="22" fillId="0" borderId="0" xfId="1" applyNumberFormat="1" applyFont="1" applyAlignment="1">
      <alignment vertical="center"/>
    </xf>
    <xf numFmtId="0" fontId="2" fillId="0" borderId="0" xfId="1" applyNumberFormat="1" applyFont="1" applyAlignment="1">
      <alignment horizontal="center" vertical="center" wrapText="1"/>
    </xf>
    <xf numFmtId="0" fontId="49" fillId="0" borderId="0" xfId="1" applyNumberFormat="1" applyFont="1" applyAlignment="1">
      <alignment horizontal="center" vertical="center" wrapText="1"/>
    </xf>
    <xf numFmtId="0" fontId="2" fillId="0" borderId="3" xfId="1" applyNumberFormat="1" applyFont="1" applyBorder="1" applyAlignment="1">
      <alignment horizontal="center" vertical="center" wrapText="1"/>
    </xf>
    <xf numFmtId="0" fontId="16" fillId="0" borderId="13" xfId="1" applyNumberFormat="1" applyFont="1" applyBorder="1" applyAlignment="1">
      <alignment vertical="center"/>
    </xf>
    <xf numFmtId="49" fontId="4" fillId="0" borderId="0" xfId="1" applyNumberFormat="1" applyFont="1" applyAlignment="1">
      <alignment horizontal="center" vertical="center" wrapText="1"/>
    </xf>
    <xf numFmtId="49" fontId="4" fillId="0" borderId="3" xfId="1" applyNumberFormat="1" applyFont="1" applyBorder="1" applyAlignment="1">
      <alignment horizontal="center" vertical="center" wrapText="1"/>
    </xf>
    <xf numFmtId="0" fontId="17" fillId="0" borderId="0" xfId="1" applyNumberFormat="1" applyFont="1" applyAlignment="1">
      <alignment horizontal="center" vertical="center"/>
    </xf>
    <xf numFmtId="0" fontId="2" fillId="8" borderId="5" xfId="1" applyNumberFormat="1" applyFont="1" applyFill="1" applyBorder="1" applyAlignment="1">
      <alignment horizontal="center" vertical="center" wrapText="1"/>
    </xf>
    <xf numFmtId="49" fontId="2" fillId="8" borderId="6" xfId="1" applyNumberFormat="1" applyFont="1" applyFill="1" applyBorder="1" applyAlignment="1">
      <alignment horizontal="center" vertical="center" wrapText="1"/>
    </xf>
    <xf numFmtId="49" fontId="2" fillId="8" borderId="31" xfId="1" applyNumberFormat="1" applyFont="1" applyFill="1" applyBorder="1" applyAlignment="1">
      <alignment horizontal="center" vertical="center" wrapText="1"/>
    </xf>
    <xf numFmtId="49" fontId="88" fillId="8" borderId="6" xfId="1" applyNumberFormat="1" applyFont="1" applyFill="1" applyBorder="1" applyAlignment="1">
      <alignment horizontal="left" vertical="center"/>
    </xf>
    <xf numFmtId="0" fontId="88" fillId="8" borderId="4" xfId="1" applyNumberFormat="1" applyFont="1" applyFill="1" applyBorder="1" applyAlignment="1">
      <alignment vertical="center"/>
    </xf>
    <xf numFmtId="0" fontId="5" fillId="0" borderId="0" xfId="1" applyNumberFormat="1" applyFont="1" applyAlignment="1">
      <alignment horizontal="center" vertical="center" wrapText="1"/>
    </xf>
    <xf numFmtId="49" fontId="2" fillId="0" borderId="8" xfId="1" applyNumberFormat="1" applyFont="1" applyBorder="1" applyAlignment="1">
      <alignment horizontal="center" vertical="center" wrapText="1"/>
    </xf>
    <xf numFmtId="49" fontId="2" fillId="0" borderId="3" xfId="1" applyNumberFormat="1" applyFont="1" applyBorder="1" applyAlignment="1">
      <alignment horizontal="center" vertical="center" wrapText="1"/>
    </xf>
    <xf numFmtId="49" fontId="42" fillId="0" borderId="3" xfId="1" applyNumberFormat="1" applyFont="1" applyBorder="1" applyAlignment="1">
      <alignment horizontal="left" vertical="center" wrapText="1" indent="1"/>
    </xf>
    <xf numFmtId="0" fontId="4" fillId="0" borderId="0" xfId="1" applyNumberFormat="1" applyFont="1" applyAlignment="1">
      <alignment horizontal="center" vertical="center" wrapText="1"/>
    </xf>
    <xf numFmtId="49" fontId="19" fillId="8" borderId="5" xfId="1" applyNumberFormat="1" applyFont="1" applyFill="1" applyBorder="1" applyAlignment="1">
      <alignment horizontal="right" vertical="center" wrapText="1"/>
    </xf>
    <xf numFmtId="49" fontId="19" fillId="8" borderId="6" xfId="1" applyNumberFormat="1" applyFont="1" applyFill="1" applyBorder="1" applyAlignment="1">
      <alignment horizontal="right" vertical="center" wrapText="1"/>
    </xf>
    <xf numFmtId="49" fontId="9" fillId="8" borderId="4" xfId="1" applyNumberFormat="1" applyFont="1" applyFill="1" applyBorder="1" applyAlignment="1">
      <alignment horizontal="left" vertical="center" indent="1"/>
    </xf>
    <xf numFmtId="49" fontId="19" fillId="8" borderId="32" xfId="1" applyNumberFormat="1" applyFont="1" applyFill="1" applyBorder="1" applyAlignment="1">
      <alignment horizontal="right" vertical="center" wrapText="1"/>
    </xf>
    <xf numFmtId="49" fontId="19" fillId="8" borderId="33" xfId="1" applyNumberFormat="1" applyFont="1" applyFill="1" applyBorder="1" applyAlignment="1">
      <alignment horizontal="right" vertical="center" wrapText="1"/>
    </xf>
    <xf numFmtId="49" fontId="9" fillId="8" borderId="6" xfId="1" applyNumberFormat="1" applyFont="1" applyFill="1" applyBorder="1" applyAlignment="1">
      <alignment horizontal="left" vertical="center" indent="1"/>
    </xf>
    <xf numFmtId="49" fontId="19" fillId="8" borderId="4" xfId="1" applyNumberFormat="1" applyFont="1" applyFill="1" applyBorder="1" applyAlignment="1">
      <alignment horizontal="right" vertical="center" wrapText="1"/>
    </xf>
    <xf numFmtId="0" fontId="42" fillId="13" borderId="0" xfId="1" applyNumberFormat="1" applyFont="1" applyFill="1">
      <alignment vertical="top"/>
    </xf>
    <xf numFmtId="49" fontId="2" fillId="0" borderId="0" xfId="1" applyNumberFormat="1" applyFont="1" applyAlignment="1">
      <alignment vertical="center" wrapText="1"/>
    </xf>
    <xf numFmtId="49" fontId="2" fillId="0" borderId="0" xfId="1" applyNumberFormat="1" applyFont="1" applyAlignment="1">
      <alignment horizontal="center" vertical="center" wrapText="1"/>
    </xf>
    <xf numFmtId="49" fontId="9" fillId="8" borderId="6" xfId="1" applyNumberFormat="1" applyFont="1" applyFill="1" applyBorder="1" applyAlignment="1">
      <alignment horizontal="left" vertical="center" indent="2"/>
    </xf>
    <xf numFmtId="0" fontId="16" fillId="0" borderId="0" xfId="1" applyNumberFormat="1" applyFont="1" applyAlignment="1">
      <alignment vertical="center" wrapText="1"/>
    </xf>
    <xf numFmtId="0" fontId="16" fillId="0" borderId="0" xfId="1" applyNumberFormat="1" applyFont="1" applyAlignment="1">
      <alignment horizontal="center" vertical="center" wrapText="1"/>
    </xf>
    <xf numFmtId="0" fontId="41" fillId="0" borderId="0" xfId="1" applyNumberFormat="1" applyFont="1" applyAlignment="1">
      <alignment vertical="center" wrapText="1"/>
    </xf>
    <xf numFmtId="0" fontId="3" fillId="0" borderId="0" xfId="1" applyNumberFormat="1" applyFont="1" applyAlignment="1">
      <alignment vertical="center" wrapText="1"/>
    </xf>
    <xf numFmtId="49" fontId="2" fillId="10" borderId="3" xfId="1" applyNumberFormat="1" applyFont="1" applyFill="1" applyBorder="1" applyAlignment="1" applyProtection="1">
      <alignment horizontal="left" vertical="center" wrapText="1"/>
      <protection locked="0"/>
    </xf>
    <xf numFmtId="4" fontId="2" fillId="7" borderId="5" xfId="1" applyNumberFormat="1" applyFont="1" applyFill="1" applyBorder="1" applyAlignment="1" applyProtection="1">
      <alignment horizontal="right" vertical="center" wrapText="1"/>
      <protection locked="0"/>
    </xf>
    <xf numFmtId="0" fontId="2" fillId="0" borderId="3" xfId="1" applyNumberFormat="1" applyFont="1" applyBorder="1" applyAlignment="1">
      <alignment vertical="center" wrapText="1"/>
    </xf>
    <xf numFmtId="0" fontId="50" fillId="0" borderId="0" xfId="1" applyNumberFormat="1" applyFont="1" applyAlignment="1">
      <alignment vertical="center" wrapText="1"/>
    </xf>
    <xf numFmtId="0" fontId="2" fillId="0" borderId="0" xfId="1" applyNumberFormat="1" applyFont="1" applyAlignment="1">
      <alignment horizontal="left" vertical="center" wrapText="1"/>
    </xf>
    <xf numFmtId="0" fontId="37" fillId="6" borderId="0" xfId="1" applyNumberFormat="1" applyFont="1" applyFill="1" applyAlignment="1">
      <alignment horizontal="right" vertical="center"/>
    </xf>
    <xf numFmtId="0" fontId="2" fillId="0" borderId="5" xfId="1" applyNumberFormat="1" applyFont="1" applyBorder="1" applyAlignment="1">
      <alignment vertical="center" wrapText="1"/>
    </xf>
    <xf numFmtId="0" fontId="2" fillId="5" borderId="5" xfId="1" applyNumberFormat="1" applyFont="1" applyFill="1" applyBorder="1" applyAlignment="1">
      <alignment horizontal="left" vertical="top" wrapText="1" indent="1"/>
    </xf>
    <xf numFmtId="0" fontId="2" fillId="0" borderId="6" xfId="1" applyNumberFormat="1" applyFont="1" applyBorder="1" applyAlignment="1">
      <alignment horizontal="right" vertical="center" wrapText="1" indent="1"/>
    </xf>
    <xf numFmtId="0" fontId="2" fillId="0" borderId="5" xfId="1" applyNumberFormat="1" applyFont="1" applyBorder="1" applyAlignment="1">
      <alignment horizontal="center" vertical="center" wrapText="1"/>
    </xf>
    <xf numFmtId="0" fontId="2" fillId="0" borderId="3" xfId="1" applyNumberFormat="1" applyFont="1" applyBorder="1" applyAlignment="1">
      <alignment horizontal="left" vertical="center" wrapText="1"/>
    </xf>
    <xf numFmtId="3" fontId="2" fillId="10" borderId="5" xfId="1" applyNumberFormat="1" applyFont="1" applyFill="1" applyBorder="1" applyAlignment="1" applyProtection="1">
      <alignment vertical="center" wrapText="1"/>
      <protection locked="0"/>
    </xf>
    <xf numFmtId="0" fontId="2" fillId="0" borderId="3" xfId="1" applyNumberFormat="1" applyFont="1" applyBorder="1" applyAlignment="1">
      <alignment vertical="top" wrapText="1"/>
    </xf>
    <xf numFmtId="49" fontId="2" fillId="7" borderId="5" xfId="1" applyNumberFormat="1" applyFont="1" applyFill="1" applyBorder="1" applyAlignment="1" applyProtection="1">
      <alignment horizontal="left" vertical="center" wrapText="1"/>
      <protection locked="0"/>
    </xf>
    <xf numFmtId="0" fontId="2" fillId="0" borderId="3" xfId="1" applyNumberFormat="1" applyFont="1" applyBorder="1" applyAlignment="1">
      <alignment horizontal="left" vertical="top" wrapText="1"/>
    </xf>
    <xf numFmtId="4" fontId="2" fillId="5" borderId="5" xfId="1" applyNumberFormat="1" applyFont="1" applyFill="1" applyBorder="1" applyAlignment="1">
      <alignment horizontal="right" vertical="center" wrapText="1"/>
    </xf>
    <xf numFmtId="0" fontId="16" fillId="0" borderId="3" xfId="1" applyNumberFormat="1" applyFont="1" applyBorder="1" applyAlignment="1">
      <alignment vertical="top" wrapText="1"/>
    </xf>
    <xf numFmtId="49" fontId="2" fillId="10" borderId="3" xfId="1" applyNumberFormat="1" applyFont="1" applyFill="1" applyBorder="1" applyAlignment="1" applyProtection="1">
      <alignment horizontal="left" vertical="center" wrapText="1" indent="1"/>
      <protection locked="0"/>
    </xf>
    <xf numFmtId="0" fontId="2" fillId="8" borderId="5" xfId="1" applyNumberFormat="1" applyFont="1" applyFill="1" applyBorder="1" applyAlignment="1">
      <alignment vertical="center" wrapText="1"/>
    </xf>
    <xf numFmtId="0" fontId="2" fillId="8" borderId="6" xfId="1" applyNumberFormat="1" applyFont="1" applyFill="1" applyBorder="1" applyAlignment="1">
      <alignment vertical="center" wrapText="1"/>
    </xf>
    <xf numFmtId="0" fontId="48" fillId="0" borderId="8" xfId="1" applyNumberFormat="1" applyFont="1" applyBorder="1" applyAlignment="1">
      <alignment horizontal="center" vertical="center" wrapText="1"/>
    </xf>
    <xf numFmtId="0" fontId="41" fillId="0" borderId="0" xfId="1" applyNumberFormat="1" applyFont="1" applyAlignment="1">
      <alignment vertical="center"/>
    </xf>
    <xf numFmtId="0" fontId="88" fillId="0" borderId="5" xfId="1" applyNumberFormat="1" applyFont="1" applyBorder="1" applyAlignment="1">
      <alignment horizontal="center" vertical="center"/>
    </xf>
    <xf numFmtId="49" fontId="88" fillId="0" borderId="3" xfId="1" applyNumberFormat="1" applyFont="1" applyBorder="1" applyAlignment="1">
      <alignment horizontal="left" vertical="center" wrapText="1" indent="1"/>
    </xf>
    <xf numFmtId="0" fontId="2" fillId="0" borderId="4" xfId="1" applyNumberFormat="1" applyFont="1" applyBorder="1" applyAlignment="1">
      <alignment horizontal="center" vertical="center" wrapText="1"/>
    </xf>
    <xf numFmtId="49" fontId="23" fillId="7" borderId="3" xfId="1" applyNumberFormat="1" applyFont="1" applyFill="1" applyBorder="1" applyAlignment="1" applyProtection="1">
      <alignment horizontal="left" vertical="center" wrapText="1"/>
      <protection locked="0"/>
    </xf>
    <xf numFmtId="167" fontId="88" fillId="7" borderId="3" xfId="1" applyNumberFormat="1" applyFont="1" applyFill="1" applyBorder="1" applyAlignment="1" applyProtection="1">
      <alignment horizontal="left" vertical="center" wrapText="1" indent="1"/>
      <protection locked="0"/>
    </xf>
    <xf numFmtId="49" fontId="2" fillId="10" borderId="5" xfId="1" applyNumberFormat="1" applyFont="1" applyFill="1" applyBorder="1" applyAlignment="1" applyProtection="1">
      <alignment horizontal="left" vertical="center" wrapText="1"/>
      <protection locked="0"/>
    </xf>
    <xf numFmtId="49" fontId="2" fillId="6" borderId="5" xfId="1" applyNumberFormat="1" applyFont="1" applyFill="1" applyBorder="1" applyAlignment="1">
      <alignment horizontal="left" vertical="center" wrapText="1"/>
    </xf>
    <xf numFmtId="49" fontId="23" fillId="6" borderId="3" xfId="1" applyNumberFormat="1" applyFont="1" applyFill="1" applyBorder="1" applyAlignment="1">
      <alignment horizontal="left" vertical="center" wrapText="1"/>
    </xf>
    <xf numFmtId="167" fontId="88" fillId="10" borderId="3" xfId="1" applyNumberFormat="1" applyFont="1" applyFill="1" applyBorder="1" applyAlignment="1" applyProtection="1">
      <alignment horizontal="left" vertical="center" wrapText="1" indent="1"/>
      <protection locked="0"/>
    </xf>
    <xf numFmtId="167" fontId="88" fillId="6" borderId="3" xfId="1" applyNumberFormat="1" applyFont="1" applyFill="1" applyBorder="1" applyAlignment="1">
      <alignment horizontal="left" vertical="center" wrapText="1" indent="1"/>
    </xf>
    <xf numFmtId="0" fontId="2" fillId="0" borderId="10" xfId="1" applyNumberFormat="1" applyFont="1" applyBorder="1" applyAlignment="1">
      <alignment horizontal="left" vertical="top" wrapText="1" indent="1"/>
    </xf>
    <xf numFmtId="0" fontId="2" fillId="0" borderId="17" xfId="1" applyNumberFormat="1" applyFont="1" applyBorder="1" applyAlignment="1">
      <alignment horizontal="left" vertical="center" wrapText="1" indent="1"/>
    </xf>
    <xf numFmtId="0" fontId="2" fillId="0" borderId="4" xfId="1" applyNumberFormat="1" applyFont="1" applyBorder="1" applyAlignment="1">
      <alignment horizontal="right" vertical="center" wrapText="1" indent="1"/>
    </xf>
    <xf numFmtId="49" fontId="88" fillId="0" borderId="5" xfId="1" applyNumberFormat="1" applyFont="1" applyBorder="1" applyAlignment="1">
      <alignment horizontal="center" vertical="center"/>
    </xf>
    <xf numFmtId="49" fontId="88" fillId="0" borderId="3" xfId="1" applyNumberFormat="1" applyFont="1" applyBorder="1" applyAlignment="1">
      <alignment vertical="center" wrapText="1"/>
    </xf>
    <xf numFmtId="0" fontId="16" fillId="8" borderId="4" xfId="1" applyNumberFormat="1" applyFont="1" applyFill="1" applyBorder="1" applyAlignment="1">
      <alignment vertical="center" wrapText="1"/>
    </xf>
    <xf numFmtId="0" fontId="2" fillId="8" borderId="10" xfId="1" applyNumberFormat="1" applyFont="1" applyFill="1" applyBorder="1" applyAlignment="1">
      <alignment vertical="center" wrapText="1"/>
    </xf>
    <xf numFmtId="0" fontId="2" fillId="0" borderId="6" xfId="1" applyNumberFormat="1" applyFont="1" applyBorder="1" applyAlignment="1">
      <alignment horizontal="center" vertical="center" wrapText="1"/>
    </xf>
    <xf numFmtId="49" fontId="2" fillId="11" borderId="3" xfId="1" applyNumberFormat="1" applyFont="1" applyFill="1" applyBorder="1" applyAlignment="1">
      <alignment horizontal="center" vertical="center" wrapText="1"/>
    </xf>
    <xf numFmtId="0" fontId="2" fillId="0" borderId="4" xfId="1" applyNumberFormat="1" applyFont="1" applyBorder="1" applyAlignment="1">
      <alignment vertical="center" wrapText="1"/>
    </xf>
    <xf numFmtId="0" fontId="2" fillId="8" borderId="17" xfId="1" applyNumberFormat="1" applyFont="1" applyFill="1" applyBorder="1" applyAlignment="1">
      <alignment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0" borderId="11" xfId="1" applyNumberFormat="1" applyFont="1" applyBorder="1" applyAlignment="1">
      <alignment horizontal="left" vertical="center" wrapText="1" indent="1"/>
    </xf>
    <xf numFmtId="0" fontId="2" fillId="0" borderId="8" xfId="1" applyNumberFormat="1" applyFont="1" applyBorder="1" applyAlignment="1">
      <alignment horizontal="left" vertical="center" wrapText="1" indent="1"/>
    </xf>
    <xf numFmtId="0" fontId="2" fillId="0" borderId="27" xfId="1" applyNumberFormat="1" applyFont="1" applyBorder="1" applyAlignment="1">
      <alignment horizontal="left" vertical="center" wrapText="1" indent="1"/>
    </xf>
    <xf numFmtId="0" fontId="2" fillId="0" borderId="19" xfId="1" applyNumberFormat="1" applyFont="1" applyBorder="1" applyAlignment="1">
      <alignment horizontal="left" vertical="center" indent="1"/>
    </xf>
    <xf numFmtId="0" fontId="2" fillId="0" borderId="14" xfId="1" applyNumberFormat="1" applyFont="1" applyBorder="1" applyAlignment="1">
      <alignment horizontal="left" vertical="center" indent="1"/>
    </xf>
    <xf numFmtId="0" fontId="2" fillId="0" borderId="20" xfId="1" applyNumberFormat="1" applyFont="1" applyBorder="1" applyAlignment="1">
      <alignment horizontal="left" vertical="center" indent="1"/>
    </xf>
    <xf numFmtId="0" fontId="2" fillId="0" borderId="0" xfId="1" applyNumberFormat="1" applyFont="1" applyAlignment="1">
      <alignment horizontal="center" vertical="center" wrapText="1"/>
    </xf>
    <xf numFmtId="0" fontId="88" fillId="0" borderId="0" xfId="1" applyNumberFormat="1" applyFont="1" applyAlignment="1">
      <alignment horizontal="left" vertical="center" wrapText="1" indent="2"/>
    </xf>
    <xf numFmtId="0" fontId="88" fillId="0" borderId="0" xfId="1" applyNumberFormat="1" applyFont="1" applyAlignment="1">
      <alignment horizontal="left" vertical="center" indent="2"/>
    </xf>
    <xf numFmtId="0" fontId="2" fillId="13" borderId="0" xfId="1" applyNumberFormat="1" applyFont="1" applyFill="1" applyAlignment="1">
      <alignment horizontal="center" vertical="center" wrapText="1"/>
    </xf>
    <xf numFmtId="0" fontId="2" fillId="0" borderId="3" xfId="1" applyNumberFormat="1" applyFont="1" applyBorder="1" applyAlignment="1">
      <alignment horizontal="center" vertical="center" wrapText="1"/>
    </xf>
    <xf numFmtId="0" fontId="42" fillId="0" borderId="27" xfId="1" applyNumberFormat="1" applyFont="1" applyBorder="1" applyAlignment="1">
      <alignment horizontal="center" vertical="center" wrapText="1"/>
    </xf>
    <xf numFmtId="0" fontId="42" fillId="0" borderId="10" xfId="1" applyNumberFormat="1" applyFont="1" applyBorder="1" applyAlignment="1">
      <alignment horizontal="center" vertical="center" wrapText="1"/>
    </xf>
    <xf numFmtId="0" fontId="42" fillId="0" borderId="3" xfId="1" applyNumberFormat="1" applyFont="1" applyBorder="1" applyAlignment="1">
      <alignment horizontal="center" vertical="center" wrapText="1"/>
    </xf>
    <xf numFmtId="0" fontId="2" fillId="0" borderId="57" xfId="1" applyNumberFormat="1" applyFont="1" applyBorder="1" applyAlignment="1">
      <alignment horizontal="center" vertical="center" wrapText="1"/>
    </xf>
    <xf numFmtId="0" fontId="2" fillId="0" borderId="58" xfId="1" applyNumberFormat="1" applyFont="1" applyBorder="1" applyAlignment="1">
      <alignment horizontal="center" vertical="center" wrapText="1"/>
    </xf>
    <xf numFmtId="49" fontId="4" fillId="0" borderId="55" xfId="1" applyNumberFormat="1" applyFont="1" applyBorder="1" applyAlignment="1">
      <alignment horizontal="center" vertical="center" wrapText="1"/>
    </xf>
    <xf numFmtId="49" fontId="4" fillId="0" borderId="56" xfId="1" applyNumberFormat="1" applyFont="1" applyBorder="1" applyAlignment="1">
      <alignment horizontal="center" vertical="center" wrapText="1"/>
    </xf>
    <xf numFmtId="49" fontId="4" fillId="0" borderId="5" xfId="1" applyNumberFormat="1" applyFont="1" applyBorder="1" applyAlignment="1">
      <alignment horizontal="center" vertical="center" wrapText="1"/>
    </xf>
    <xf numFmtId="49" fontId="4" fillId="0" borderId="4" xfId="1" applyNumberFormat="1" applyFont="1" applyBorder="1" applyAlignment="1">
      <alignment horizontal="center" vertical="center" wrapText="1"/>
    </xf>
    <xf numFmtId="49" fontId="2" fillId="0" borderId="3" xfId="1" applyNumberFormat="1" applyFont="1" applyBorder="1" applyAlignment="1">
      <alignment horizontal="center" vertical="center" wrapText="1"/>
    </xf>
    <xf numFmtId="0" fontId="2" fillId="11" borderId="8" xfId="1" applyNumberFormat="1" applyFont="1" applyFill="1" applyBorder="1" applyAlignment="1">
      <alignment horizontal="left" vertical="center" wrapText="1" indent="2"/>
    </xf>
    <xf numFmtId="0" fontId="2" fillId="11" borderId="26" xfId="1" applyNumberFormat="1" applyFont="1" applyFill="1" applyBorder="1" applyAlignment="1">
      <alignment horizontal="left" vertical="center" wrapText="1" indent="2"/>
    </xf>
    <xf numFmtId="0" fontId="2" fillId="11" borderId="14" xfId="1" applyNumberFormat="1" applyFont="1" applyFill="1" applyBorder="1" applyAlignment="1">
      <alignment horizontal="left" vertical="center" wrapText="1" indent="2"/>
    </xf>
    <xf numFmtId="49" fontId="2" fillId="11" borderId="14" xfId="1" applyNumberFormat="1" applyFont="1" applyFill="1" applyBorder="1" applyAlignment="1">
      <alignment horizontal="center" vertical="center" wrapText="1"/>
    </xf>
    <xf numFmtId="49" fontId="2" fillId="11" borderId="3" xfId="1" applyNumberFormat="1" applyFont="1" applyFill="1" applyBorder="1" applyAlignment="1">
      <alignment horizontal="center" vertical="center" wrapText="1"/>
    </xf>
    <xf numFmtId="14" fontId="48" fillId="0" borderId="59" xfId="1" applyNumberFormat="1" applyFont="1" applyBorder="1" applyAlignment="1">
      <alignment horizontal="center" vertical="center" wrapText="1"/>
    </xf>
    <xf numFmtId="0" fontId="2" fillId="0" borderId="59" xfId="1" applyNumberFormat="1" applyFont="1" applyBorder="1" applyAlignment="1">
      <alignment horizontal="center" vertical="center" wrapText="1"/>
    </xf>
    <xf numFmtId="0" fontId="2" fillId="6" borderId="8" xfId="1" applyNumberFormat="1" applyFont="1" applyFill="1" applyBorder="1" applyAlignment="1">
      <alignment horizontal="left" vertical="center" wrapText="1" indent="1"/>
    </xf>
    <xf numFmtId="0" fontId="2" fillId="6" borderId="14" xfId="1" applyNumberFormat="1" applyFont="1" applyFill="1" applyBorder="1" applyAlignment="1">
      <alignment horizontal="left" vertical="center" wrapText="1" indent="1"/>
    </xf>
    <xf numFmtId="0" fontId="42" fillId="0" borderId="3" xfId="1" applyNumberFormat="1" applyFont="1" applyBorder="1" applyAlignment="1">
      <alignment horizontal="left" vertical="center" wrapText="1" indent="1"/>
    </xf>
    <xf numFmtId="0" fontId="42" fillId="0" borderId="3" xfId="1" applyNumberFormat="1" applyFont="1" applyBorder="1" applyAlignment="1">
      <alignment horizontal="left" vertical="top" indent="1"/>
    </xf>
    <xf numFmtId="0" fontId="4" fillId="0" borderId="15" xfId="1" applyNumberFormat="1" applyFont="1" applyBorder="1" applyAlignment="1">
      <alignment horizontal="center" vertical="center" wrapText="1"/>
    </xf>
    <xf numFmtId="0" fontId="4" fillId="0" borderId="0" xfId="1" applyNumberFormat="1" applyFont="1" applyAlignment="1">
      <alignment horizontal="center" vertical="center" wrapText="1"/>
    </xf>
    <xf numFmtId="14" fontId="48" fillId="0" borderId="8" xfId="1" applyNumberFormat="1" applyFont="1" applyBorder="1" applyAlignment="1">
      <alignment horizontal="center" vertical="center" wrapText="1"/>
    </xf>
    <xf numFmtId="14" fontId="48" fillId="0" borderId="26" xfId="1"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6"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7"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6"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6"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0" borderId="3" xfId="0" applyNumberFormat="1" applyFont="1" applyBorder="1" applyAlignment="1">
      <alignment horizontal="center" vertical="center" wrapText="1"/>
    </xf>
    <xf numFmtId="49" fontId="17" fillId="6" borderId="17"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7" xfId="0" applyNumberFormat="1" applyFont="1" applyBorder="1" applyAlignment="1">
      <alignment horizontal="left" vertical="top" wrapText="1" indent="1"/>
    </xf>
    <xf numFmtId="0" fontId="40" fillId="0" borderId="15" xfId="0" applyNumberFormat="1" applyFont="1" applyBorder="1" applyAlignment="1">
      <alignment horizontal="left" vertical="center" wrapText="1" indent="1"/>
    </xf>
    <xf numFmtId="0" fontId="40" fillId="0" borderId="26" xfId="0" applyNumberFormat="1" applyFont="1" applyBorder="1" applyAlignment="1">
      <alignment horizontal="left" vertical="center" wrapText="1" indent="1"/>
    </xf>
    <xf numFmtId="0" fontId="40" fillId="0" borderId="13" xfId="0" applyNumberFormat="1" applyFont="1" applyBorder="1" applyAlignment="1">
      <alignment horizontal="left" vertical="center" wrapText="1" indent="1"/>
    </xf>
    <xf numFmtId="0" fontId="2" fillId="0" borderId="17"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6"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6" xfId="0" applyNumberFormat="1" applyFont="1" applyFill="1" applyBorder="1" applyAlignment="1">
      <alignment horizontal="center" vertical="center" wrapText="1"/>
    </xf>
    <xf numFmtId="49" fontId="2" fillId="11" borderId="14"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9" fillId="0" borderId="17" xfId="0" applyNumberFormat="1" applyFont="1" applyBorder="1" applyAlignment="1">
      <alignment horizontal="left" vertical="center"/>
    </xf>
    <xf numFmtId="0" fontId="9" fillId="0" borderId="19" xfId="0" applyNumberFormat="1" applyFont="1" applyBorder="1" applyAlignment="1">
      <alignment horizontal="left" vertical="center"/>
    </xf>
    <xf numFmtId="0" fontId="9" fillId="0" borderId="0" xfId="0" applyNumberFormat="1" applyFont="1" applyAlignment="1">
      <alignment horizontal="left" vertical="center"/>
    </xf>
    <xf numFmtId="0" fontId="9"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7"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4"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4" fillId="0" borderId="0" xfId="0" applyNumberFormat="1" applyFont="1" applyAlignment="1">
      <alignment horizontal="left" vertical="top" wrapText="1" indent="1"/>
    </xf>
    <xf numFmtId="0" fontId="59"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6"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19"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0" xfId="0" applyNumberFormat="1" applyFont="1" applyBorder="1" applyAlignment="1">
      <alignment horizontal="left" vertical="center" wrapText="1" indent="1"/>
    </xf>
    <xf numFmtId="0" fontId="16"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7" xfId="0" applyNumberFormat="1" applyFont="1" applyBorder="1" applyAlignment="1">
      <alignment horizontal="center" vertical="center" wrapText="1"/>
    </xf>
    <xf numFmtId="49" fontId="0" fillId="0" borderId="20"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7"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7" xfId="0" applyNumberFormat="1" applyFont="1" applyBorder="1" applyAlignment="1">
      <alignment horizontal="left" vertical="center" wrapText="1" indent="1"/>
    </xf>
    <xf numFmtId="0" fontId="0" fillId="0" borderId="26"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6" fillId="0" borderId="3" xfId="0" applyNumberFormat="1" applyFont="1" applyBorder="1" applyAlignment="1">
      <alignment horizontal="center" vertical="center" wrapText="1"/>
    </xf>
    <xf numFmtId="167" fontId="16"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16" fillId="0" borderId="3" xfId="0" applyNumberFormat="1" applyFont="1" applyBorder="1" applyAlignment="1">
      <alignment horizontal="center" vertical="center"/>
    </xf>
    <xf numFmtId="0" fontId="16" fillId="0" borderId="5" xfId="0" applyNumberFormat="1" applyFont="1" applyBorder="1" applyAlignment="1">
      <alignment horizontal="center" vertical="center"/>
    </xf>
    <xf numFmtId="0" fontId="16" fillId="0" borderId="3" xfId="0" applyNumberFormat="1" applyFont="1" applyBorder="1" applyAlignment="1">
      <alignment horizontal="center" vertical="center" wrapText="1"/>
    </xf>
    <xf numFmtId="0" fontId="16" fillId="0" borderId="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6" fillId="0" borderId="8" xfId="0" applyNumberFormat="1" applyFont="1" applyBorder="1" applyAlignment="1">
      <alignment horizontal="center" vertical="center" wrapText="1"/>
    </xf>
    <xf numFmtId="0" fontId="16" fillId="0" borderId="14" xfId="0" applyNumberFormat="1" applyFont="1" applyBorder="1" applyAlignment="1">
      <alignment horizontal="center" vertical="center" wrapText="1"/>
    </xf>
    <xf numFmtId="0" fontId="47" fillId="6" borderId="10" xfId="0" applyNumberFormat="1" applyFont="1" applyFill="1" applyBorder="1" applyAlignment="1">
      <alignment horizontal="center" vertical="center" wrapText="1"/>
    </xf>
    <xf numFmtId="0" fontId="5" fillId="0" borderId="17"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6"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9" fillId="8" borderId="8" xfId="0" applyNumberFormat="1" applyFont="1" applyFill="1" applyBorder="1" applyAlignment="1">
      <alignment horizontal="center" vertical="center" textRotation="90" wrapText="1"/>
    </xf>
    <xf numFmtId="49" fontId="9" fillId="8" borderId="26" xfId="0" applyNumberFormat="1" applyFont="1" applyFill="1" applyBorder="1" applyAlignment="1">
      <alignment horizontal="center" vertical="center" textRotation="90" wrapText="1"/>
    </xf>
    <xf numFmtId="49" fontId="9" fillId="8" borderId="14" xfId="0" applyNumberFormat="1" applyFont="1" applyFill="1" applyBorder="1" applyAlignment="1">
      <alignment horizontal="center" vertical="center" textRotation="90" wrapText="1"/>
    </xf>
    <xf numFmtId="0" fontId="14" fillId="0" borderId="8" xfId="0" applyNumberFormat="1" applyFont="1" applyBorder="1" applyAlignment="1">
      <alignment horizontal="left" vertical="top" wrapText="1"/>
    </xf>
    <xf numFmtId="0" fontId="14" fillId="0" borderId="26" xfId="0" applyNumberFormat="1" applyFont="1" applyBorder="1" applyAlignment="1">
      <alignment horizontal="left" vertical="top" wrapText="1"/>
    </xf>
    <xf numFmtId="0" fontId="14" fillId="0" borderId="14" xfId="0" applyNumberFormat="1" applyFont="1" applyBorder="1" applyAlignment="1">
      <alignment horizontal="left" vertical="top" wrapText="1"/>
    </xf>
    <xf numFmtId="0" fontId="17" fillId="0" borderId="8" xfId="0" applyNumberFormat="1" applyFont="1" applyBorder="1" applyAlignment="1">
      <alignment horizontal="center" vertical="center" wrapText="1"/>
    </xf>
    <xf numFmtId="0" fontId="17"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17" fillId="0" borderId="5" xfId="0" applyNumberFormat="1" applyFont="1" applyBorder="1" applyAlignment="1">
      <alignment horizontal="left" vertical="center" wrapText="1"/>
    </xf>
    <xf numFmtId="0" fontId="17" fillId="0" borderId="6" xfId="0" applyNumberFormat="1" applyFont="1" applyBorder="1" applyAlignment="1">
      <alignment horizontal="left" vertical="center" wrapText="1"/>
    </xf>
    <xf numFmtId="0" fontId="17" fillId="0" borderId="4" xfId="0" applyNumberFormat="1" applyFont="1" applyBorder="1" applyAlignment="1">
      <alignment horizontal="left" vertical="center" wrapText="1"/>
    </xf>
    <xf numFmtId="0" fontId="0" fillId="0" borderId="26"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7"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7"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0" xfId="0" applyNumberFormat="1" applyFont="1" applyFill="1" applyBorder="1" applyAlignment="1">
      <alignment horizontal="center" vertical="center" wrapText="1"/>
    </xf>
    <xf numFmtId="0" fontId="0" fillId="6" borderId="17"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6"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6"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17"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4"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6"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19" xfId="0" applyNumberFormat="1" applyFont="1" applyFill="1" applyBorder="1" applyAlignment="1">
      <alignment horizontal="center" vertical="center" wrapText="1"/>
    </xf>
    <xf numFmtId="0" fontId="17" fillId="0" borderId="10" xfId="0" applyNumberFormat="1" applyFont="1" applyBorder="1" applyAlignment="1">
      <alignment horizontal="left" vertical="center" wrapText="1"/>
    </xf>
    <xf numFmtId="49" fontId="58" fillId="17" borderId="0" xfId="0" applyNumberFormat="1" applyFont="1" applyFill="1" applyAlignment="1">
      <alignment horizontal="center" vertical="center" textRotation="90" wrapText="1"/>
    </xf>
    <xf numFmtId="0" fontId="40"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17" fillId="0" borderId="8" xfId="0" applyNumberFormat="1" applyFont="1" applyBorder="1" applyAlignment="1">
      <alignment horizontal="center" vertical="center" wrapText="1"/>
    </xf>
    <xf numFmtId="49" fontId="17" fillId="0" borderId="26" xfId="0" applyNumberFormat="1" applyFont="1" applyBorder="1" applyAlignment="1">
      <alignment horizontal="center" vertical="center" wrapText="1"/>
    </xf>
    <xf numFmtId="49" fontId="17" fillId="0" borderId="14" xfId="0" applyNumberFormat="1" applyFont="1" applyBorder="1" applyAlignment="1">
      <alignment horizontal="center" vertical="center" wrapText="1"/>
    </xf>
    <xf numFmtId="0" fontId="14"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16" fillId="0" borderId="0" xfId="0" applyNumberFormat="1" applyFont="1" applyAlignment="1">
      <alignment horizontal="center" vertical="top"/>
    </xf>
    <xf numFmtId="0" fontId="17" fillId="0" borderId="6" xfId="0" applyNumberFormat="1" applyFont="1" applyBorder="1" applyAlignment="1">
      <alignment horizontal="right" vertical="center" wrapText="1" indent="1"/>
    </xf>
    <xf numFmtId="0" fontId="17"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5" borderId="0" xfId="0" applyNumberFormat="1" applyFont="1" applyFill="1" applyAlignment="1">
      <alignment horizontal="center" vertical="center" textRotation="90" wrapText="1"/>
    </xf>
    <xf numFmtId="49"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19" xfId="0" applyNumberFormat="1" applyFont="1" applyFill="1" applyBorder="1" applyAlignment="1">
      <alignment horizontal="center" vertical="center" wrapText="1"/>
    </xf>
    <xf numFmtId="0" fontId="2" fillId="0" borderId="52" xfId="0" applyNumberFormat="1" applyFont="1" applyBorder="1" applyAlignment="1">
      <alignment horizontal="center" vertical="center"/>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33"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6"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7"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6" fillId="18" borderId="5" xfId="0" applyNumberFormat="1" applyFont="1" applyFill="1" applyBorder="1" applyAlignment="1">
      <alignment horizontal="center" vertical="center" wrapText="1"/>
    </xf>
    <xf numFmtId="49" fontId="16" fillId="18" borderId="6" xfId="0" applyNumberFormat="1" applyFont="1" applyFill="1" applyBorder="1" applyAlignment="1">
      <alignment horizontal="center" vertical="center" wrapText="1"/>
    </xf>
    <xf numFmtId="49" fontId="16" fillId="18" borderId="4" xfId="0" applyNumberFormat="1" applyFont="1" applyFill="1" applyBorder="1" applyAlignment="1">
      <alignment horizontal="center" vertical="center" wrapText="1"/>
    </xf>
    <xf numFmtId="49" fontId="16" fillId="21" borderId="5" xfId="0" applyNumberFormat="1" applyFont="1" applyFill="1" applyBorder="1" applyAlignment="1">
      <alignment horizontal="center" vertical="center" wrapText="1"/>
    </xf>
    <xf numFmtId="49" fontId="16" fillId="21" borderId="6" xfId="0" applyNumberFormat="1" applyFont="1" applyFill="1" applyBorder="1" applyAlignment="1">
      <alignment horizontal="center" vertical="center" wrapText="1"/>
    </xf>
    <xf numFmtId="49" fontId="16"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49" fontId="2" fillId="0" borderId="0" xfId="1" applyNumberFormat="1" applyFont="1" applyAlignment="1">
      <alignment vertical="center" wrapText="1"/>
    </xf>
    <xf numFmtId="0" fontId="5" fillId="0" borderId="15" xfId="1" applyNumberFormat="1" applyFont="1" applyBorder="1" applyAlignment="1">
      <alignment horizontal="center" vertical="center" wrapText="1"/>
    </xf>
    <xf numFmtId="0" fontId="2" fillId="0" borderId="10" xfId="1" applyNumberFormat="1" applyFont="1" applyBorder="1" applyAlignment="1">
      <alignment horizontal="left" vertical="top" wrapText="1" indent="1"/>
    </xf>
    <xf numFmtId="0" fontId="2" fillId="0" borderId="17" xfId="1" applyNumberFormat="1" applyFont="1" applyBorder="1" applyAlignment="1">
      <alignment horizontal="left" vertical="center" wrapText="1" indent="1"/>
    </xf>
    <xf numFmtId="0" fontId="2" fillId="0" borderId="6" xfId="1" applyNumberFormat="1" applyFont="1" applyBorder="1" applyAlignment="1">
      <alignment horizontal="right" vertical="center" wrapText="1" indent="1"/>
    </xf>
    <xf numFmtId="0" fontId="2" fillId="0" borderId="4" xfId="1" applyNumberFormat="1" applyFont="1" applyBorder="1" applyAlignment="1">
      <alignment horizontal="right" vertical="center" wrapText="1" indent="1"/>
    </xf>
    <xf numFmtId="0" fontId="2" fillId="5" borderId="5" xfId="1" applyNumberFormat="1" applyFont="1" applyFill="1" applyBorder="1" applyAlignment="1">
      <alignment horizontal="left" vertical="top" wrapText="1" indent="1"/>
    </xf>
    <xf numFmtId="0" fontId="2" fillId="5" borderId="4" xfId="1" applyNumberFormat="1" applyFont="1" applyFill="1" applyBorder="1" applyAlignment="1">
      <alignment horizontal="left" vertical="top" wrapText="1" indent="1"/>
    </xf>
    <xf numFmtId="0" fontId="2" fillId="0" borderId="5" xfId="1" applyNumberFormat="1" applyFont="1" applyBorder="1" applyAlignment="1">
      <alignment horizontal="right" vertical="center" wrapText="1"/>
    </xf>
    <xf numFmtId="0" fontId="2" fillId="0" borderId="6" xfId="1" applyNumberFormat="1" applyFont="1" applyBorder="1" applyAlignment="1">
      <alignment horizontal="right" vertical="center" wrapText="1"/>
    </xf>
    <xf numFmtId="0" fontId="2" fillId="0" borderId="8" xfId="1" applyNumberFormat="1" applyFont="1" applyBorder="1" applyAlignment="1">
      <alignment horizontal="center" vertical="center" wrapText="1"/>
    </xf>
    <xf numFmtId="0" fontId="2" fillId="0" borderId="15" xfId="1" applyNumberFormat="1" applyFont="1" applyBorder="1" applyAlignment="1">
      <alignment horizontal="center" vertical="center" wrapText="1"/>
    </xf>
    <xf numFmtId="0" fontId="2" fillId="0" borderId="19" xfId="1" applyNumberFormat="1" applyFont="1" applyBorder="1" applyAlignment="1">
      <alignment horizontal="center" vertical="center" wrapText="1"/>
    </xf>
    <xf numFmtId="0" fontId="2" fillId="0" borderId="8" xfId="1" applyNumberFormat="1" applyFont="1" applyBorder="1" applyAlignment="1">
      <alignment horizontal="left" vertical="top" wrapText="1"/>
    </xf>
    <xf numFmtId="0" fontId="2" fillId="0" borderId="14" xfId="1"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8" fillId="6" borderId="0" xfId="0" applyNumberFormat="1" applyFont="1" applyFill="1" applyAlignment="1">
      <alignment horizontal="center" vertical="top" wrapText="1"/>
    </xf>
    <xf numFmtId="49" fontId="4"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8"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6"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19" xfId="0" applyNumberFormat="1" applyFont="1" applyBorder="1" applyAlignment="1">
      <alignment horizontal="left" vertical="top" wrapText="1"/>
    </xf>
    <xf numFmtId="4" fontId="2" fillId="0" borderId="26"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4" fillId="0" borderId="47" xfId="0" applyNumberFormat="1" applyFont="1" applyBorder="1" applyAlignment="1">
      <alignment horizontal="center" vertical="center" wrapText="1"/>
    </xf>
    <xf numFmtId="164" fontId="14" fillId="0" borderId="41" xfId="0" applyNumberFormat="1" applyFont="1" applyBorder="1" applyAlignment="1">
      <alignment horizontal="center" vertical="center" wrapText="1"/>
    </xf>
    <xf numFmtId="164" fontId="14" fillId="0" borderId="61" xfId="0" applyNumberFormat="1" applyFont="1" applyBorder="1" applyAlignment="1">
      <alignment horizontal="center" vertical="center" wrapText="1"/>
    </xf>
    <xf numFmtId="49" fontId="2" fillId="11" borderId="20"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11" borderId="8" xfId="0" applyNumberFormat="1" applyFont="1" applyFill="1" applyBorder="1" applyAlignment="1">
      <alignment horizontal="left" vertical="center" wrapText="1" indent="1"/>
    </xf>
    <xf numFmtId="49" fontId="2" fillId="11" borderId="26"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82" fillId="0" borderId="3" xfId="0" applyNumberFormat="1" applyFont="1" applyBorder="1" applyAlignment="1">
      <alignment horizontal="center" vertical="center" wrapText="1"/>
    </xf>
    <xf numFmtId="0" fontId="14"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2" fillId="11" borderId="8" xfId="0" applyNumberFormat="1" applyFont="1" applyFill="1" applyBorder="1" applyAlignment="1">
      <alignment horizontal="left" vertical="center" wrapText="1" indent="2"/>
    </xf>
    <xf numFmtId="0" fontId="2" fillId="11" borderId="26"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14" fontId="48" fillId="0" borderId="8" xfId="0" applyNumberFormat="1" applyFont="1" applyBorder="1" applyAlignment="1">
      <alignment horizontal="center" vertical="center" wrapText="1"/>
    </xf>
    <xf numFmtId="14" fontId="48" fillId="0" borderId="26" xfId="0" applyNumberFormat="1" applyFont="1" applyBorder="1" applyAlignment="1">
      <alignment horizontal="center" vertical="center" wrapText="1"/>
    </xf>
    <xf numFmtId="0" fontId="42" fillId="0" borderId="3" xfId="0" applyNumberFormat="1" applyFont="1" applyBorder="1" applyAlignment="1">
      <alignment horizontal="left" vertical="center" wrapText="1" indent="1"/>
    </xf>
    <xf numFmtId="0" fontId="42" fillId="0" borderId="3" xfId="0" applyNumberFormat="1" applyFont="1" applyBorder="1" applyAlignment="1">
      <alignment horizontal="left" vertical="top" indent="1"/>
    </xf>
    <xf numFmtId="0" fontId="4"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9" fillId="8" borderId="41"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8"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82"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6"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6"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9" fillId="8" borderId="6" xfId="0" applyNumberFormat="1" applyFont="1" applyFill="1" applyBorder="1" applyAlignment="1">
      <alignment horizontal="left" vertical="center"/>
    </xf>
    <xf numFmtId="0" fontId="9" fillId="8" borderId="4" xfId="0" applyNumberFormat="1" applyFont="1" applyFill="1" applyBorder="1" applyAlignment="1">
      <alignment horizontal="left" vertical="center"/>
    </xf>
    <xf numFmtId="0" fontId="9" fillId="8" borderId="10" xfId="0" applyNumberFormat="1" applyFont="1" applyFill="1" applyBorder="1" applyAlignment="1">
      <alignment horizontal="left" vertical="center"/>
    </xf>
    <xf numFmtId="0" fontId="9"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1" fillId="0" borderId="3" xfId="0" applyNumberFormat="1" applyFont="1" applyBorder="1" applyAlignment="1">
      <alignment horizontal="center" vertical="top" wrapText="1"/>
    </xf>
    <xf numFmtId="0" fontId="61" fillId="12" borderId="3" xfId="0" applyNumberFormat="1" applyFont="1" applyFill="1" applyBorder="1" applyAlignment="1">
      <alignment horizontal="center" vertical="center" wrapText="1"/>
    </xf>
    <xf numFmtId="49" fontId="61" fillId="0" borderId="27" xfId="0" applyNumberFormat="1" applyFont="1" applyBorder="1" applyAlignment="1">
      <alignment horizontal="center" vertical="top" wrapText="1"/>
    </xf>
    <xf numFmtId="49" fontId="61" fillId="0" borderId="20" xfId="0" applyNumberFormat="1" applyFont="1" applyBorder="1" applyAlignment="1">
      <alignment horizontal="center" vertical="top" wrapText="1"/>
    </xf>
    <xf numFmtId="49" fontId="61" fillId="0" borderId="5" xfId="0" applyNumberFormat="1" applyFont="1" applyBorder="1" applyAlignment="1">
      <alignment horizontal="center" vertical="top" wrapText="1"/>
    </xf>
    <xf numFmtId="49" fontId="61" fillId="0" borderId="6" xfId="0" applyNumberFormat="1" applyFont="1" applyBorder="1" applyAlignment="1">
      <alignment horizontal="center" vertical="top" wrapText="1"/>
    </xf>
    <xf numFmtId="49" fontId="61" fillId="0" borderId="4" xfId="0" applyNumberFormat="1" applyFont="1" applyBorder="1" applyAlignment="1">
      <alignment horizontal="center" vertical="top" wrapText="1"/>
    </xf>
    <xf numFmtId="49" fontId="61" fillId="0" borderId="8" xfId="0" applyNumberFormat="1" applyFont="1" applyBorder="1" applyAlignment="1">
      <alignment horizontal="center" vertical="top" wrapText="1"/>
    </xf>
    <xf numFmtId="49" fontId="61" fillId="0" borderId="26" xfId="0" applyNumberFormat="1" applyFont="1" applyBorder="1" applyAlignment="1">
      <alignment horizontal="center" vertical="top" wrapText="1"/>
    </xf>
    <xf numFmtId="49" fontId="61"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5" fillId="0" borderId="10" xfId="0" applyNumberFormat="1" applyFont="1" applyBorder="1" applyAlignment="1">
      <alignment horizontal="left" vertical="center" wrapText="1" indent="1"/>
    </xf>
    <xf numFmtId="0" fontId="15" fillId="0" borderId="17" xfId="0" applyNumberFormat="1" applyFont="1" applyBorder="1" applyAlignment="1">
      <alignment horizontal="left" vertical="center" wrapText="1" indent="1"/>
    </xf>
    <xf numFmtId="0" fontId="4" fillId="6" borderId="0" xfId="0" applyNumberFormat="1" applyFont="1" applyFill="1" applyAlignment="1">
      <alignment horizontal="center" vertical="center" wrapText="1"/>
    </xf>
    <xf numFmtId="0" fontId="49" fillId="0" borderId="0" xfId="0" applyNumberFormat="1" applyFont="1" applyAlignment="1">
      <alignment horizontal="center" vertical="center" wrapText="1"/>
    </xf>
    <xf numFmtId="49" fontId="9" fillId="8" borderId="3" xfId="0" applyNumberFormat="1" applyFont="1" applyFill="1" applyBorder="1" applyAlignment="1">
      <alignment horizontal="center" vertical="center" textRotation="90" wrapText="1"/>
    </xf>
    <xf numFmtId="0" fontId="15"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2.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21183" y="847725"/>
          <a:ext cx="367951"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14400" y="723900"/>
          <a:ext cx="219075" cy="219075"/>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609600" y="542925"/>
          <a:ext cx="323564"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21183" y="847725"/>
          <a:ext cx="367951"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mecon.local\dfs\&#1044;&#1086;&#1082;&#1091;&#1084;&#1077;&#1085;&#1090;&#1099;\&#1055;&#1069;&#1054;\&#1057;&#1083;&#1091;&#1078;&#1077;&#1073;&#1085;&#1099;&#1077;\&#1088;&#1072;&#1089;&#1082;&#1088;&#1099;&#1090;&#1080;&#1077;%20&#1080;&#1085;&#1092;&#1086;&#1088;&#1084;&#1072;&#1094;&#1080;&#1080;\2023\3%20&#1082;&#1074;&#1072;&#1088;&#1090;&#1072;&#1083;%202023\&#1055;&#1086;&#1082;&#1072;&#1079;&#1072;&#1090;&#1077;&#1083;&#1080;,%20&#1087;&#1086;&#1076;&#1083;&#1077;&#1078;&#1072;&#1097;&#1080;&#1077;%20&#1088;&#1072;&#1089;&#1082;&#1088;&#1099;&#1090;&#1080;&#1102;%203%20&#1082;&#1074;.%202023%20&#1043;&#1042;&#10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mecon.local\dfs\&#1044;&#1086;&#1082;&#1091;&#1084;&#1077;&#1085;&#1090;&#1099;\&#1045;&#1048;&#1040;&#1057;%20&#1052;&#1086;&#1085;&#1080;&#1090;&#1086;&#1088;&#1080;&#1085;&#1075;\&#1055;&#1069;&#1054;\&#1064;&#1072;&#1073;&#1083;&#1086;&#1085;&#1099;\2023\30.10.2023\PP108.OPEN.INFO.QUARTER.HOTVSNA.EIAS_&#1043;&#1042;&#1057;%203%20&#1082;&#1074;&#1072;&#1088;&#1090;&#1072;&#1083;%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mecon.local\dfs\&#1044;&#1086;&#1082;&#1091;&#1084;&#1077;&#1085;&#1090;&#1099;\&#1045;&#1048;&#1040;&#1057;%20&#1052;&#1086;&#1085;&#1080;&#1090;&#1086;&#1088;&#1080;&#1085;&#1075;\&#1055;&#1069;&#1054;\&#1064;&#1072;&#1073;&#1083;&#1086;&#1085;&#1099;\2023\30.10.2023\PP110.OPEN.INFO.QUARTER.HEAT.EIAS_&#1090;&#1077;&#1087;&#1083;&#1086;+&#1090;&#1077;&#1087;&#1083;&#1086;&#1085;&#1086;&#1089;&#1080;&#1090;&#1077;&#1083;&#1100;%203%20&#1082;&#1074;.%20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ГВС 1"/>
      <sheetName val="ГВС 2"/>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ГВС 3"/>
      <sheetName val="Договоры"/>
      <sheetName val="Порядок ТП"/>
      <sheetName val="Предложение"/>
      <sheetName val="Сведения о закупках"/>
      <sheetName val="Потребительские характеристики"/>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Проверка"/>
      <sheetName val="et_union_hor"/>
      <sheetName val="TEHSHEET"/>
      <sheetName val="DATA_FORMS"/>
      <sheetName val="DATA_NPA"/>
      <sheetName val="Т-ТЭ | потр"/>
      <sheetName val="Т-ТЭ | предел"/>
      <sheetName val="Т-ТЭ | индикат"/>
      <sheetName val="Т-подкл(инд)"/>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12">
          <cell r="F12" t="str">
            <v>ter_1</v>
          </cell>
        </row>
      </sheetData>
      <sheetData sheetId="1">
        <row r="12">
          <cell r="O12" t="str">
            <v>ID_DIFF</v>
          </cell>
          <cell r="P12" t="str">
            <v>VD</v>
          </cell>
          <cell r="Q12" t="str">
            <v>AREA</v>
          </cell>
          <cell r="R12" t="str">
            <v>SYSTEM</v>
          </cell>
        </row>
        <row r="13">
          <cell r="O13" t="str">
            <v>diff_1</v>
          </cell>
          <cell r="P13" t="str">
            <v>Горячее водоснабжение</v>
          </cell>
          <cell r="Q13" t="str">
            <v>без дифференциации</v>
          </cell>
          <cell r="R13" t="str">
            <v>без дифференциации</v>
          </cell>
        </row>
      </sheetData>
      <sheetData sheetId="2">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Тарифы на тепловую энергию (мощность), поставляемую теплоснабжающими организациями потребителям, другим теплоснабжающим организациям</v>
          </cell>
          <cell r="AJ18" t="str">
            <v/>
          </cell>
          <cell r="AK18" t="str">
            <v/>
          </cell>
          <cell r="AL18" t="str">
            <v/>
          </cell>
          <cell r="AM18" t="str">
            <v/>
          </cell>
          <cell r="AN18">
            <v>0</v>
          </cell>
          <cell r="AO18" t="str">
            <v>.</v>
          </cell>
          <cell r="AP18" t="str">
            <v>..</v>
          </cell>
          <cell r="AQ18" t="str">
            <v>...</v>
          </cell>
        </row>
        <row r="23">
          <cell r="AC23" t="str">
            <v>pIns_PT_VTAR_C</v>
          </cell>
          <cell r="AD23" t="str">
            <v>pt_ntar_3</v>
          </cell>
          <cell r="AE23" t="str">
            <v>pt_ter_3</v>
          </cell>
          <cell r="AF23" t="str">
            <v>pt_cs_3</v>
          </cell>
          <cell r="AG23" t="str">
            <v>pt_ist_te_3</v>
          </cell>
          <cell r="AH23" t="str">
            <v>Тарифы на теплоноситель, поставляемый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8">
          <cell r="AC28" t="str">
            <v>pIns_PT_VTAR_D</v>
          </cell>
          <cell r="AD28" t="str">
            <v>pt_ntar_4</v>
          </cell>
          <cell r="AE28" t="str">
            <v>pt_ter_4</v>
          </cell>
          <cell r="AF28" t="str">
            <v>pt_cs_4</v>
          </cell>
          <cell r="AG28" t="str">
            <v>pt_ist_te_4</v>
          </cell>
          <cell r="AH28"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28" t="str">
            <v/>
          </cell>
          <cell r="AK28" t="str">
            <v/>
          </cell>
          <cell r="AL28" t="str">
            <v/>
          </cell>
          <cell r="AM28" t="str">
            <v/>
          </cell>
          <cell r="AN28">
            <v>0</v>
          </cell>
          <cell r="AO28" t="str">
            <v>.</v>
          </cell>
          <cell r="AP28" t="str">
            <v>..</v>
          </cell>
          <cell r="AQ28" t="str">
            <v>...</v>
          </cell>
        </row>
        <row r="33">
          <cell r="AC33" t="str">
            <v>pIns_PT_VTAR_E1</v>
          </cell>
          <cell r="AD33" t="str">
            <v>pt_ntar_5</v>
          </cell>
          <cell r="AE33" t="str">
            <v>pt_ter_5</v>
          </cell>
          <cell r="AF33" t="str">
            <v>pt_cs_5</v>
          </cell>
          <cell r="AG33" t="str">
            <v>pt_ist_te_5</v>
          </cell>
          <cell r="AH33" t="str">
            <v>Тарифы на услуги по передаче тепловой энергии</v>
          </cell>
          <cell r="AJ33" t="str">
            <v/>
          </cell>
          <cell r="AK33" t="str">
            <v/>
          </cell>
          <cell r="AL33" t="str">
            <v/>
          </cell>
          <cell r="AM33" t="str">
            <v/>
          </cell>
          <cell r="AN33">
            <v>0</v>
          </cell>
          <cell r="AO33" t="str">
            <v>.</v>
          </cell>
          <cell r="AP33" t="str">
            <v>..</v>
          </cell>
          <cell r="AQ33" t="str">
            <v>...</v>
          </cell>
        </row>
        <row r="38">
          <cell r="AC38" t="str">
            <v>pIns_PT_VTAR_E2</v>
          </cell>
          <cell r="AD38" t="str">
            <v>pt_ntar_6</v>
          </cell>
          <cell r="AE38" t="str">
            <v>pt_ter_6</v>
          </cell>
          <cell r="AF38" t="str">
            <v>pt_cs_6</v>
          </cell>
          <cell r="AG38" t="str">
            <v>pt_ist_te_6</v>
          </cell>
          <cell r="AH38" t="str">
            <v>Тарифы на услуги по передаче теплоносителя</v>
          </cell>
          <cell r="AJ38" t="str">
            <v/>
          </cell>
          <cell r="AK38" t="str">
            <v/>
          </cell>
          <cell r="AL38" t="str">
            <v/>
          </cell>
          <cell r="AM38" t="str">
            <v/>
          </cell>
          <cell r="AN38">
            <v>0</v>
          </cell>
          <cell r="AO38" t="str">
            <v>.</v>
          </cell>
          <cell r="AP38" t="str">
            <v>..</v>
          </cell>
          <cell r="AQ38" t="str">
            <v>...</v>
          </cell>
        </row>
        <row r="43">
          <cell r="AC43" t="str">
            <v>pIns_PT_VTAR_F</v>
          </cell>
          <cell r="AD43" t="str">
            <v>pt_ntar_7</v>
          </cell>
          <cell r="AE43" t="str">
            <v>pt_ter_7</v>
          </cell>
          <cell r="AF43" t="str">
            <v>pt_cs_7</v>
          </cell>
          <cell r="AG43" t="str">
            <v>pt_ist_te_7</v>
          </cell>
          <cell r="AH43" t="str">
            <v>Плата за услуги по поддержанию резервной тепловой мощности при отсутствии потребления тепловой энергии</v>
          </cell>
          <cell r="AJ43" t="str">
            <v/>
          </cell>
          <cell r="AK43" t="str">
            <v/>
          </cell>
          <cell r="AL43" t="str">
            <v/>
          </cell>
          <cell r="AM43" t="str">
            <v/>
          </cell>
          <cell r="AN43">
            <v>0</v>
          </cell>
          <cell r="AO43" t="str">
            <v>.</v>
          </cell>
          <cell r="AP43" t="str">
            <v>..</v>
          </cell>
          <cell r="AQ43" t="str">
            <v>...</v>
          </cell>
        </row>
        <row r="48">
          <cell r="AC48" t="str">
            <v>pIns_PT_VTAR_G</v>
          </cell>
          <cell r="AD48" t="str">
            <v>pt_ntar_8</v>
          </cell>
          <cell r="AE48" t="str">
            <v>pt_ter_8</v>
          </cell>
          <cell r="AF48" t="str">
            <v>pt_cs_8</v>
          </cell>
          <cell r="AG48" t="str">
            <v>pt_ist_te_8</v>
          </cell>
          <cell r="AH48" t="str">
            <v>Плата за подключение (технологическое присоединение) к системе теплоснабжения</v>
          </cell>
          <cell r="AJ48" t="str">
            <v/>
          </cell>
          <cell r="AK48" t="str">
            <v/>
          </cell>
          <cell r="AL48" t="str">
            <v/>
          </cell>
          <cell r="AM48" t="str">
            <v/>
          </cell>
          <cell r="AN48">
            <v>0</v>
          </cell>
          <cell r="AO48" t="str">
            <v>.</v>
          </cell>
          <cell r="AP48" t="str">
            <v>..</v>
          </cell>
          <cell r="AQ48" t="str">
            <v>...</v>
          </cell>
        </row>
        <row r="64">
          <cell r="AC64" t="str">
            <v>pIns_PT_VTAR_A_COLDVSNA</v>
          </cell>
          <cell r="AD64" t="str">
            <v>pt_ntar_9</v>
          </cell>
          <cell r="AE64" t="str">
            <v>pt_ter_9</v>
          </cell>
          <cell r="AF64" t="str">
            <v>pt_cs_9</v>
          </cell>
          <cell r="AH64" t="str">
            <v>Тариф на питьевую воду (питьевое водоснабжение)</v>
          </cell>
          <cell r="AJ64" t="str">
            <v/>
          </cell>
          <cell r="AK64" t="str">
            <v/>
          </cell>
          <cell r="AL64" t="str">
            <v/>
          </cell>
          <cell r="AM64" t="str">
            <v/>
          </cell>
          <cell r="AN64">
            <v>0</v>
          </cell>
          <cell r="AO64" t="str">
            <v>.</v>
          </cell>
          <cell r="AP64" t="str">
            <v>..</v>
          </cell>
          <cell r="AQ64" t="str">
            <v>...</v>
          </cell>
        </row>
        <row r="69">
          <cell r="AC69" t="str">
            <v>pIns_PT_VTAR_B_COLDVSNA</v>
          </cell>
          <cell r="AD69" t="str">
            <v>pt_ntar_10</v>
          </cell>
          <cell r="AE69" t="str">
            <v>pt_ter_10</v>
          </cell>
          <cell r="AF69" t="str">
            <v>pt_cs_10</v>
          </cell>
          <cell r="AH69" t="str">
            <v>Тариф на техническую воду</v>
          </cell>
          <cell r="AJ69" t="str">
            <v/>
          </cell>
          <cell r="AK69" t="str">
            <v/>
          </cell>
          <cell r="AL69" t="str">
            <v/>
          </cell>
          <cell r="AM69" t="str">
            <v/>
          </cell>
          <cell r="AN69">
            <v>0</v>
          </cell>
          <cell r="AO69" t="str">
            <v>.</v>
          </cell>
          <cell r="AP69" t="str">
            <v>..</v>
          </cell>
          <cell r="AQ69" t="str">
            <v>...</v>
          </cell>
        </row>
        <row r="74">
          <cell r="AC74" t="str">
            <v>pIns_PT_VTAR_C_COLDVSNA</v>
          </cell>
          <cell r="AD74" t="str">
            <v>pt_ntar_11</v>
          </cell>
          <cell r="AE74" t="str">
            <v>pt_ter_11</v>
          </cell>
          <cell r="AF74" t="str">
            <v>pt_cs_11</v>
          </cell>
          <cell r="AH74" t="str">
            <v>Тариф на транспортировку воды</v>
          </cell>
          <cell r="AJ74" t="str">
            <v/>
          </cell>
          <cell r="AK74" t="str">
            <v/>
          </cell>
          <cell r="AL74" t="str">
            <v/>
          </cell>
          <cell r="AM74" t="str">
            <v/>
          </cell>
          <cell r="AN74">
            <v>0</v>
          </cell>
          <cell r="AO74" t="str">
            <v>.</v>
          </cell>
          <cell r="AP74" t="str">
            <v>..</v>
          </cell>
          <cell r="AQ74" t="str">
            <v>...</v>
          </cell>
        </row>
        <row r="79">
          <cell r="AC79" t="str">
            <v>pIns_PT_VTAR_D_COLDVSNA</v>
          </cell>
          <cell r="AD79" t="str">
            <v>pt_ntar_12</v>
          </cell>
          <cell r="AE79" t="str">
            <v>pt_ter_12</v>
          </cell>
          <cell r="AF79" t="str">
            <v>pt_cs_12</v>
          </cell>
          <cell r="AH79" t="str">
            <v>Тариф на подвоз воды</v>
          </cell>
          <cell r="AJ79" t="str">
            <v/>
          </cell>
          <cell r="AK79" t="str">
            <v/>
          </cell>
          <cell r="AL79" t="str">
            <v/>
          </cell>
          <cell r="AM79" t="str">
            <v/>
          </cell>
          <cell r="AN79">
            <v>0</v>
          </cell>
          <cell r="AO79" t="str">
            <v>.</v>
          </cell>
          <cell r="AP79" t="str">
            <v>..</v>
          </cell>
          <cell r="AQ79" t="str">
            <v>...</v>
          </cell>
        </row>
        <row r="84">
          <cell r="AC84" t="str">
            <v>pIns_PT_VTAR_E_COLDVSNA</v>
          </cell>
          <cell r="AD84" t="str">
            <v>pt_ntar_13</v>
          </cell>
          <cell r="AE84" t="str">
            <v>pt_ter_13</v>
          </cell>
          <cell r="AF84" t="str">
            <v>pt_cs_13</v>
          </cell>
          <cell r="AH84" t="str">
            <v>Тариф на подключение (технологическое присоединение) к централизованной системе холодного водоснабжения</v>
          </cell>
          <cell r="AJ84" t="str">
            <v/>
          </cell>
          <cell r="AK84" t="str">
            <v/>
          </cell>
          <cell r="AL84" t="str">
            <v/>
          </cell>
          <cell r="AM84" t="str">
            <v/>
          </cell>
          <cell r="AN84">
            <v>0</v>
          </cell>
          <cell r="AO84" t="str">
            <v>.</v>
          </cell>
          <cell r="AP84" t="str">
            <v>..</v>
          </cell>
          <cell r="AQ84" t="str">
            <v>...</v>
          </cell>
        </row>
        <row r="90">
          <cell r="AC90" t="str">
            <v>pIns_PT_VTAR_A_HOTVSNA</v>
          </cell>
          <cell r="AD90" t="str">
            <v>pt_ntar_14</v>
          </cell>
          <cell r="AE90" t="str">
            <v>pt_ter_14</v>
          </cell>
          <cell r="AF90" t="str">
            <v>pt_cs_14</v>
          </cell>
          <cell r="AH90" t="str">
            <v>Тариф на горячую воду (горячее водоснабжение)</v>
          </cell>
          <cell r="AJ90" t="str">
            <v/>
          </cell>
          <cell r="AK90" t="str">
            <v/>
          </cell>
          <cell r="AL90" t="str">
            <v/>
          </cell>
          <cell r="AM90" t="str">
            <v/>
          </cell>
          <cell r="AN90">
            <v>0</v>
          </cell>
          <cell r="AO90" t="str">
            <v>.</v>
          </cell>
          <cell r="AP90" t="str">
            <v>..</v>
          </cell>
          <cell r="AQ90" t="str">
            <v>...</v>
          </cell>
        </row>
        <row r="95">
          <cell r="AC95" t="str">
            <v>pIns_PT_VTAR_B_HOTVSNA</v>
          </cell>
          <cell r="AD95" t="str">
            <v>pt_ntar_15</v>
          </cell>
          <cell r="AE95" t="str">
            <v>pt_ter_15</v>
          </cell>
          <cell r="AF95" t="str">
            <v>pt_cs_15</v>
          </cell>
          <cell r="AH95" t="str">
            <v>Тариф на транспортировку горячей воды</v>
          </cell>
          <cell r="AJ95" t="str">
            <v/>
          </cell>
          <cell r="AK95" t="str">
            <v/>
          </cell>
          <cell r="AL95" t="str">
            <v/>
          </cell>
          <cell r="AM95" t="str">
            <v/>
          </cell>
          <cell r="AN95">
            <v>0</v>
          </cell>
          <cell r="AO95" t="str">
            <v>.</v>
          </cell>
          <cell r="AP95" t="str">
            <v>..</v>
          </cell>
          <cell r="AQ95" t="str">
            <v>...</v>
          </cell>
        </row>
        <row r="100">
          <cell r="AC100" t="str">
            <v>pIns_PT_VTAR_C_HOTVSNA</v>
          </cell>
          <cell r="AD100" t="str">
            <v>pt_ntar_16</v>
          </cell>
          <cell r="AE100" t="str">
            <v>pt_ter_16</v>
          </cell>
          <cell r="AF100" t="str">
            <v>pt_cs_16</v>
          </cell>
          <cell r="AH100" t="str">
            <v>Тариф на подключение (технологическое присоединение) к централизованной системе горячего водоснабжения</v>
          </cell>
          <cell r="AJ100" t="str">
            <v/>
          </cell>
          <cell r="AK100" t="str">
            <v/>
          </cell>
          <cell r="AL100" t="str">
            <v/>
          </cell>
          <cell r="AM100" t="str">
            <v/>
          </cell>
          <cell r="AN100">
            <v>0</v>
          </cell>
          <cell r="AO100" t="str">
            <v>.</v>
          </cell>
          <cell r="AP100" t="str">
            <v>..</v>
          </cell>
          <cell r="AQ100" t="str">
            <v>...</v>
          </cell>
        </row>
        <row r="106">
          <cell r="AC106" t="str">
            <v>pIns_PT_VTAR_A_VOTV</v>
          </cell>
          <cell r="AD106" t="str">
            <v>pt_ntar_17</v>
          </cell>
          <cell r="AE106" t="str">
            <v>pt_ter_17</v>
          </cell>
          <cell r="AF106" t="str">
            <v>pt_cs_17</v>
          </cell>
          <cell r="AH106" t="str">
            <v>Тариф на водоотведение</v>
          </cell>
          <cell r="AJ106" t="str">
            <v/>
          </cell>
          <cell r="AK106" t="str">
            <v/>
          </cell>
          <cell r="AL106" t="str">
            <v/>
          </cell>
          <cell r="AM106" t="str">
            <v/>
          </cell>
          <cell r="AN106">
            <v>0</v>
          </cell>
          <cell r="AO106" t="str">
            <v>.</v>
          </cell>
          <cell r="AP106" t="str">
            <v>..</v>
          </cell>
          <cell r="AQ106" t="str">
            <v>...</v>
          </cell>
        </row>
        <row r="111">
          <cell r="AC111" t="str">
            <v>pIns_PT_VTAR_B_VOTV</v>
          </cell>
          <cell r="AD111" t="str">
            <v>pt_ntar_18</v>
          </cell>
          <cell r="AE111" t="str">
            <v>pt_ter_18</v>
          </cell>
          <cell r="AF111" t="str">
            <v>pt_cs_18</v>
          </cell>
          <cell r="AH111" t="str">
            <v>Тариф на транспортировку сточных вод</v>
          </cell>
          <cell r="AJ111" t="str">
            <v/>
          </cell>
          <cell r="AK111" t="str">
            <v/>
          </cell>
          <cell r="AL111" t="str">
            <v/>
          </cell>
          <cell r="AM111" t="str">
            <v/>
          </cell>
          <cell r="AN111">
            <v>0</v>
          </cell>
          <cell r="AO111" t="str">
            <v>.</v>
          </cell>
          <cell r="AP111" t="str">
            <v>..</v>
          </cell>
          <cell r="AQ111" t="str">
            <v>...</v>
          </cell>
        </row>
        <row r="116">
          <cell r="AC116" t="str">
            <v>pIns_PT_VTAR_C_VOTV</v>
          </cell>
          <cell r="AD116" t="str">
            <v>pt_ntar_19</v>
          </cell>
          <cell r="AE116" t="str">
            <v>pt_ter_19</v>
          </cell>
          <cell r="AF116" t="str">
            <v>pt_cs_19</v>
          </cell>
          <cell r="AH116" t="str">
            <v>Тариф на подключение (технологическое присоединение) к централизованной системе водоотведения</v>
          </cell>
          <cell r="AJ116" t="str">
            <v/>
          </cell>
          <cell r="AK116" t="str">
            <v/>
          </cell>
          <cell r="AL116" t="str">
            <v/>
          </cell>
          <cell r="AM116" t="str">
            <v/>
          </cell>
          <cell r="AN116">
            <v>0</v>
          </cell>
          <cell r="AO116" t="str">
            <v>.</v>
          </cell>
          <cell r="AP116" t="str">
            <v>..</v>
          </cell>
          <cell r="AQ116" t="str">
            <v>...</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28" refreshError="1"/>
      <sheetData sheetId="29" refreshError="1"/>
      <sheetData sheetId="30" refreshError="1"/>
      <sheetData sheetId="31" refreshError="1"/>
      <sheetData sheetId="32" refreshError="1"/>
      <sheetData sheetId="33">
        <row r="11">
          <cell r="AD11" t="str">
            <v>ip_1</v>
          </cell>
        </row>
        <row r="13">
          <cell r="G13" t="str">
            <v>Добавить инвестиционную программу</v>
          </cell>
        </row>
      </sheetData>
      <sheetData sheetId="34" refreshError="1"/>
      <sheetData sheetId="35" refreshError="1"/>
      <sheetData sheetId="36" refreshError="1"/>
      <sheetData sheetId="37"/>
      <sheetData sheetId="38" refreshError="1"/>
      <sheetData sheetId="39" refreshError="1"/>
      <sheetData sheetId="40"/>
      <sheetData sheetId="41" refreshError="1"/>
      <sheetData sheetId="42" refreshError="1"/>
      <sheetData sheetId="43" refreshError="1"/>
      <sheetData sheetId="44" refreshError="1"/>
      <sheetData sheetId="45">
        <row r="12">
          <cell r="F12" t="e">
            <v>#REF!</v>
          </cell>
        </row>
      </sheetData>
      <sheetData sheetId="46" refreshError="1"/>
      <sheetData sheetId="47" refreshError="1"/>
      <sheetData sheetId="48" refreshError="1"/>
      <sheetData sheetId="49" refreshError="1"/>
      <sheetData sheetId="50" refreshError="1"/>
      <sheetData sheetId="51">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0</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смешанное налогообложение</v>
          </cell>
          <cell r="O7" t="str">
            <v>отборный пар, &gt; 13 кг/см2</v>
          </cell>
          <cell r="BB7" t="str">
            <v>мазут</v>
          </cell>
        </row>
        <row r="8">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BB19" t="str">
            <v>смола</v>
          </cell>
        </row>
        <row r="20">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HOTVSNA</v>
          </cell>
          <cell r="F36" t="str">
            <v>горячего водоснабжения</v>
          </cell>
          <cell r="G36" t="str">
            <v>горячее водоснабжение</v>
          </cell>
        </row>
        <row r="45">
          <cell r="E45" t="str">
            <v>Q</v>
          </cell>
          <cell r="J45" t="str">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ell>
          <cell r="K45" t="str">
            <v>Перечень муниципальных районов и муниципальных образований (территорий действия тарифа)</v>
          </cell>
        </row>
        <row r="46">
          <cell r="F46" t="str">
            <v>O</v>
          </cell>
          <cell r="I46" t="e">
            <v>#REF!</v>
          </cell>
          <cell r="J46" t="str">
            <v>Общая информация о регулируемой организации (горячего водоснабжения)</v>
          </cell>
        </row>
        <row r="47">
          <cell r="F47" t="str">
            <v>Q</v>
          </cell>
          <cell r="G47" t="e">
            <v>#REF!</v>
          </cell>
          <cell r="H47" t="e">
            <v>#REF!</v>
          </cell>
          <cell r="I47" t="e">
            <v>#REF!</v>
          </cell>
          <cell r="J47" t="str">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ell>
        </row>
        <row r="48">
          <cell r="F48" t="str">
            <v>B</v>
          </cell>
          <cell r="G48" t="e">
            <v>#REF!</v>
          </cell>
          <cell r="H48" t="e">
            <v>#REF!</v>
          </cell>
          <cell r="I48" t="e">
            <v>#REF!</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e">
            <v>#REF!</v>
          </cell>
          <cell r="H49" t="e">
            <v>#REF!</v>
          </cell>
          <cell r="I49" t="e">
            <v>#REF!</v>
          </cell>
          <cell r="J49" t="str">
            <v>Информация об условиях, на которых осуществляется поставка товаров (оказание услуг) в сфере горячего водоснабжения</v>
          </cell>
        </row>
        <row r="50">
          <cell r="F50" t="str">
            <v>I</v>
          </cell>
          <cell r="G50" t="e">
            <v>#REF!</v>
          </cell>
          <cell r="H50" t="e">
            <v>#REF!</v>
          </cell>
          <cell r="I50" t="e">
            <v>#REF!</v>
          </cell>
          <cell r="J50" t="str">
            <v>Информация об инвестиционных программах регулируемой организации в области горячего водоснабжения</v>
          </cell>
        </row>
        <row r="51">
          <cell r="F51" t="str">
            <v>R</v>
          </cell>
          <cell r="G51" t="e">
            <v>#REF!</v>
          </cell>
          <cell r="H51" t="e">
            <v>#REF!</v>
          </cell>
          <cell r="I51" t="e">
            <v>#REF!</v>
          </cell>
          <cell r="J51" t="str">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e">
            <v>#REF!</v>
          </cell>
          <cell r="H52" t="e">
            <v>#REF!</v>
          </cell>
          <cell r="I52" t="e">
            <v>#REF!</v>
          </cell>
          <cell r="J52" t="str">
            <v>Показатели, подлежащие раскрытию в сфере горячего водоснабжения (цены и тарифы)</v>
          </cell>
        </row>
        <row r="53">
          <cell r="F53" t="str">
            <v>ROIV</v>
          </cell>
          <cell r="G53" t="e">
            <v>#REF!</v>
          </cell>
          <cell r="H53" t="e">
            <v>#REF!</v>
          </cell>
          <cell r="I53" t="e">
            <v>#REF!</v>
          </cell>
          <cell r="J53" t="str">
            <v>Показатели, подлежащие раскрытию органами регулирования</v>
          </cell>
        </row>
        <row r="97">
          <cell r="AZ97" t="str">
            <v>информация об органе регулирования и перечень организаций</v>
          </cell>
        </row>
        <row r="98">
          <cell r="AZ98" t="str">
            <v>информация о делах об установлении тарифов</v>
          </cell>
        </row>
        <row r="99">
          <cell r="AZ99" t="str">
            <v>информация о привлечение к ответственности</v>
          </cell>
        </row>
        <row r="102">
          <cell r="AZ102" t="str">
            <v>тыс.руб./Гкал/ч</v>
          </cell>
        </row>
        <row r="103">
          <cell r="AZ103" t="str">
            <v>тыс.руб.</v>
          </cell>
        </row>
        <row r="104">
          <cell r="AZ104" t="str">
            <v>руб.</v>
          </cell>
        </row>
      </sheetData>
      <sheetData sheetId="52">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ell>
        </row>
        <row r="4">
          <cell r="C4" t="str">
            <v>Форма 1. Информация об организации, осуществляющей горячее водоснабжение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горячее водоснабжение (общая информация)</v>
          </cell>
          <cell r="H4" t="str">
            <v>Форма 1. Информация об организации (общая информация)</v>
          </cell>
        </row>
        <row r="5">
          <cell r="C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ell>
          <cell r="D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E6" t="str">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ell>
        </row>
        <row r="7">
          <cell r="C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ell>
        </row>
        <row r="31">
          <cell r="C31" t="str">
            <v>Форма 1. Информация об организации, осуществляющей горячее водоснабжение (общая информация)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горячее водоснабжение (общая информация)</v>
          </cell>
        </row>
        <row r="32">
          <cell r="C32" t="str">
            <v>Форма 7. Информация об инвестиционных программах организации горячего водоснабжения и отчетах об их исполнении</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горячего водоснабжения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53">
        <row r="2">
          <cell r="Z2" t="str">
            <v>HEAT</v>
          </cell>
          <cell r="AA2" t="str">
            <v>COLDVSNA</v>
          </cell>
          <cell r="AB2" t="str">
            <v>HOTVSNA</v>
          </cell>
          <cell r="AC2" t="str">
            <v>VOTV</v>
          </cell>
          <cell r="AD2" t="str">
            <v>TKO</v>
          </cell>
        </row>
        <row r="3">
          <cell r="N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горячего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row>
        <row r="16">
          <cell r="N16" t="str">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ell>
        </row>
        <row r="18">
          <cell r="L18">
            <v>1</v>
          </cell>
          <cell r="M18" t="str">
            <v>Выручка от регулируемых видов деятельности в сфере горячего водоснабжения</v>
          </cell>
          <cell r="N18" t="str">
            <v>Указывается выручка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регулируемым видам деятельности в сфере горячего водоснабжения,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используемую для горячего водоснабжения</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
          </cell>
          <cell r="M21" t="str">
            <v/>
          </cell>
          <cell r="N21" t="str">
            <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2.2</v>
          </cell>
          <cell r="M22" t="str">
            <v>Расходы на тепловую энергию, производимую с применением собственных источников и используемую для горячего водоснабжения</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2.3</v>
          </cell>
          <cell r="M23" t="str">
            <v>Расходы на приобретаемую холодную воду, используемую для горячего водоснабжения</v>
          </cell>
          <cell r="N23" t="str">
            <v/>
          </cell>
          <cell r="Q23" t="str">
            <v>2.3</v>
          </cell>
          <cell r="V23" t="str">
            <v>Расходы на приобретаемую холодную воду, используемую для горячего водоснабжения</v>
          </cell>
        </row>
        <row r="24">
          <cell r="L24" t="str">
            <v>2.4</v>
          </cell>
          <cell r="M24" t="str">
            <v>Расходы на холодную воду, получаемую с применением собственных источников водозабора (скважин) и используемую для горячего водоснабжения</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2.5</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2.5.1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 (с учетом мощности)</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2.5.2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
          </cell>
          <cell r="M28" t="str">
            <v/>
          </cell>
          <cell r="N28" t="str">
            <v/>
          </cell>
          <cell r="O28" t="str">
            <v>2.4</v>
          </cell>
          <cell r="T28" t="str">
            <v>Расходы на приобретение холодной воды, используемой в технологическом процессе</v>
          </cell>
        </row>
        <row r="29">
          <cell r="L29" t="str">
            <v/>
          </cell>
          <cell r="M29" t="str">
            <v/>
          </cell>
          <cell r="N29" t="str">
            <v/>
          </cell>
          <cell r="O29" t="str">
            <v>2.5</v>
          </cell>
          <cell r="P29" t="str">
            <v>2.3</v>
          </cell>
          <cell r="R29" t="str">
            <v>2.3</v>
          </cell>
          <cell r="T29" t="str">
            <v>Расходы на химические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Указывается общая сумма расходов на оплату труда и отчислений на социальные нужды основного производственного персонала.</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Указывается общая сумма расходов на оплату труда и отчислений на социальные нужды административно-управленческого персонала.</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регулируемых видов деятельности в сфере горячего водоснабжения</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2.13</v>
          </cell>
          <cell r="M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N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2.13.1</v>
          </cell>
          <cell r="M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2.14</v>
          </cell>
          <cell r="M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N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
          </cell>
          <cell r="M51" t="str">
            <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3</v>
          </cell>
          <cell r="M52" t="str">
            <v>Чистая прибыль, полученная от регулируемого вида деятельности в сфере горячего водоснабжения,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3.1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4</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4.1</v>
          </cell>
          <cell r="M55" t="str">
            <v>Изменение стоимости основных фондов за счет их ввода в эксплуатацию (вывода из эксплуатации)</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Изменение стоимости основных фондов за счет:</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4.1.1</v>
          </cell>
          <cell r="M56" t="str">
            <v>Изменение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Изменения стоимости основных фондов 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4.1.2</v>
          </cell>
          <cell r="M57" t="str">
            <v>Изменение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Изменения стоимости основных фондов 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4.2</v>
          </cell>
          <cell r="M58" t="str">
            <v>Изменение стоимости основных фондов за счет их переоценки</v>
          </cell>
          <cell r="N58" t="str">
            <v/>
          </cell>
          <cell r="O58" t="str">
            <v>5.2</v>
          </cell>
          <cell r="P58" t="str">
            <v>4.2</v>
          </cell>
          <cell r="Q58" t="str">
            <v>4.2</v>
          </cell>
          <cell r="R58" t="str">
            <v>4.2</v>
          </cell>
          <cell r="T58" t="str">
            <v>Изменение стоимости основных фондов 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5</v>
          </cell>
          <cell r="M59" t="str">
            <v>Валовая прибыль (убытки) от продажи товаров и услуг по регулируемым видам деятельности в сфере горячего водоснабжения</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7</v>
          </cell>
          <cell r="M70" t="str">
            <v>Объём приобретаемой холодной воды, используемой для горячего водоснабжения</v>
          </cell>
          <cell r="N70" t="str">
            <v/>
          </cell>
          <cell r="Q70" t="str">
            <v>7</v>
          </cell>
          <cell r="V70" t="str">
            <v>Объём приобретаемой холодной воды, используемой для горячего водоснабжения</v>
          </cell>
        </row>
        <row r="71">
          <cell r="L71" t="str">
            <v>8</v>
          </cell>
          <cell r="M71" t="str">
            <v>Объём холодной воды, получаемой с применением собственных источников водозабора (скважин) и используемой для горячего водоснабжения</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9</v>
          </cell>
          <cell r="M72" t="str">
            <v>Объём приобретаемой тепловой энергии (мощности), используемой для горячего водоснабжения</v>
          </cell>
          <cell r="N72" t="str">
            <v/>
          </cell>
          <cell r="Q72" t="str">
            <v>9</v>
          </cell>
          <cell r="V72" t="str">
            <v>Объём приобретаемой тепловой энергии (мощности), используемой для горячего водоснабжения</v>
          </cell>
        </row>
        <row r="73">
          <cell r="L73" t="str">
            <v>10</v>
          </cell>
          <cell r="M73" t="str">
            <v>Объём тепловой энергии, производимой с применением собственных источников и используемой для горячего водоснабжения</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11</v>
          </cell>
          <cell r="M74" t="str">
            <v>Потери горячей воды в сетях (процентов)</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
          </cell>
          <cell r="M78" t="str">
            <v/>
          </cell>
          <cell r="N78" t="str">
            <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
          </cell>
          <cell r="M79" t="str">
            <v/>
          </cell>
          <cell r="N79" t="str">
            <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
          </cell>
          <cell r="M80" t="str">
            <v/>
          </cell>
          <cell r="N80" t="str">
            <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
          </cell>
          <cell r="M81" t="str">
            <v/>
          </cell>
          <cell r="N81" t="str">
            <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
          </cell>
          <cell r="M82" t="str">
            <v/>
          </cell>
          <cell r="N82" t="str">
            <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
          </cell>
          <cell r="M83" t="str">
            <v/>
          </cell>
          <cell r="N83" t="str">
            <v/>
          </cell>
          <cell r="O83" t="str">
            <v>10.1</v>
          </cell>
          <cell r="T83" t="str">
            <v xml:space="preserve">По приборам учёта </v>
          </cell>
        </row>
        <row r="84">
          <cell r="L84" t="str">
            <v/>
          </cell>
          <cell r="M84" t="str">
            <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
          </cell>
          <cell r="M85" t="str">
            <v/>
          </cell>
          <cell r="N85" t="str">
            <v/>
          </cell>
          <cell r="O85" t="str">
            <v>10.2</v>
          </cell>
          <cell r="T85" t="str">
            <v>Расчётным путём</v>
          </cell>
        </row>
        <row r="86">
          <cell r="L86" t="str">
            <v/>
          </cell>
          <cell r="M86" t="str">
            <v/>
          </cell>
          <cell r="N86" t="str">
            <v/>
          </cell>
          <cell r="O86" t="str">
            <v>10.3</v>
          </cell>
          <cell r="T86" t="str">
            <v>По нормативам потребления коммунальных услуг и нормативам потребления коммунальных ресурсов</v>
          </cell>
        </row>
        <row r="87">
          <cell r="L87" t="str">
            <v/>
          </cell>
          <cell r="M87" t="str">
            <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
          </cell>
          <cell r="M88" t="str">
            <v/>
          </cell>
          <cell r="N88" t="str">
            <v/>
          </cell>
          <cell r="O88" t="str">
            <v>12</v>
          </cell>
          <cell r="T88" t="str">
            <v>Фактический объем потерь при передаче тепловой энергии</v>
          </cell>
        </row>
        <row r="89">
          <cell r="L89" t="str">
            <v>12</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
          </cell>
          <cell r="M90" t="str">
            <v/>
          </cell>
          <cell r="N90" t="str">
            <v/>
          </cell>
          <cell r="O90" t="str">
            <v>14</v>
          </cell>
          <cell r="T90" t="str">
            <v>Среднесписочная численность административно-управленческого персонала</v>
          </cell>
        </row>
        <row r="91">
          <cell r="L91" t="str">
            <v>13</v>
          </cell>
          <cell r="M91" t="str">
            <v>Удельный расход электрической энергии на подачу воды в сеть</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
          </cell>
          <cell r="M95" t="str">
            <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
          </cell>
          <cell r="M96" t="str">
            <v/>
          </cell>
          <cell r="N96" t="str">
            <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
          </cell>
          <cell r="M97" t="str">
            <v/>
          </cell>
          <cell r="N97" t="str">
            <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
          </cell>
          <cell r="M98" t="str">
            <v/>
          </cell>
          <cell r="N98" t="str">
            <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
          </cell>
          <cell r="M99" t="str">
            <v/>
          </cell>
          <cell r="N99" t="str">
            <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
          </cell>
          <cell r="M100" t="str">
            <v/>
          </cell>
          <cell r="N100" t="str">
            <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
          </cell>
          <cell r="M101" t="str">
            <v/>
          </cell>
          <cell r="N101" t="str">
            <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ell>
        </row>
      </sheetData>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2">
          <cell r="B2" t="str">
            <v>Территория 1</v>
          </cell>
        </row>
      </sheetData>
      <sheetData sheetId="74" refreshError="1"/>
      <sheetData sheetId="75">
        <row r="2">
          <cell r="A2" t="str">
            <v>4189702</v>
          </cell>
          <cell r="B2" t="str">
            <v>Горячее водоснабжение</v>
          </cell>
        </row>
        <row r="3">
          <cell r="A3" t="str">
            <v>4189703</v>
          </cell>
          <cell r="B3" t="str">
            <v>Транспортировка</v>
          </cell>
        </row>
        <row r="4">
          <cell r="A4" t="str">
            <v>4189704</v>
          </cell>
          <cell r="B4" t="str">
            <v>Подключение (технологическое присоединение) к централизованной системе горячего водоснабжения</v>
          </cell>
        </row>
      </sheetData>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hor"/>
      <sheetName val="TEHSHEET"/>
      <sheetName val="DATA_FORMS"/>
      <sheetName val="DATA_NPA"/>
      <sheetName val="Т-ТЭ | потр"/>
      <sheetName val="Т-ТЭ | предел"/>
      <sheetName val="Т-ТЭ | индикат"/>
      <sheetName val="Т-подкл(инд)"/>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PP108.OPEN.INFO.QUARTER.HOTVSNA.EIAS</v>
          </cell>
        </row>
        <row r="3">
          <cell r="B3" t="str">
            <v>Версия отчёта: 1.0.5</v>
          </cell>
        </row>
      </sheetData>
      <sheetData sheetId="1">
        <row r="5">
          <cell r="E5" t="str">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ell>
        </row>
        <row r="7">
          <cell r="F7" t="str">
            <v>Свердловская область</v>
          </cell>
        </row>
        <row r="11">
          <cell r="F11" t="str">
            <v/>
          </cell>
        </row>
        <row r="13">
          <cell r="F13" t="str">
            <v/>
          </cell>
        </row>
        <row r="14">
          <cell r="F14">
            <v>2023</v>
          </cell>
        </row>
        <row r="15">
          <cell r="F15" t="str">
            <v>III квартал</v>
          </cell>
        </row>
        <row r="31">
          <cell r="F31" t="str">
            <v>Акционерное общество "Уральский завод металлоконструкций", г.Екатеринбург</v>
          </cell>
        </row>
        <row r="33">
          <cell r="F33" t="str">
            <v>6660000590</v>
          </cell>
        </row>
        <row r="34">
          <cell r="F34" t="str">
            <v>667001001</v>
          </cell>
        </row>
        <row r="41">
          <cell r="F41" t="str">
            <v>нет</v>
          </cell>
        </row>
      </sheetData>
      <sheetData sheetId="2">
        <row r="12">
          <cell r="F12" t="str">
            <v>ter_1</v>
          </cell>
          <cell r="G12" t="str">
            <v>Территория 1</v>
          </cell>
        </row>
        <row r="13">
          <cell r="F13" t="str">
            <v>94</v>
          </cell>
          <cell r="G13" t="str">
            <v>муниципальное образование город Екатеринбург</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t="str">
            <v>Горячее водоснабжение</v>
          </cell>
          <cell r="Q13" t="str">
            <v>без дифференциации</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Тарифы на тепловую энергию (мощность), поставляемую теплоснабжающими организациями потребителям, другим теплоснабжающим организациям</v>
          </cell>
          <cell r="AJ18" t="str">
            <v/>
          </cell>
          <cell r="AK18" t="str">
            <v/>
          </cell>
          <cell r="AL18" t="str">
            <v/>
          </cell>
          <cell r="AM18" t="str">
            <v/>
          </cell>
          <cell r="AN18">
            <v>0</v>
          </cell>
          <cell r="AO18" t="str">
            <v>.</v>
          </cell>
          <cell r="AP18" t="str">
            <v>..</v>
          </cell>
          <cell r="AQ18" t="str">
            <v>...</v>
          </cell>
        </row>
        <row r="23">
          <cell r="AC23" t="str">
            <v>pIns_PT_VTAR_C</v>
          </cell>
          <cell r="AD23" t="str">
            <v>pt_ntar_3</v>
          </cell>
          <cell r="AE23" t="str">
            <v>pt_ter_3</v>
          </cell>
          <cell r="AF23" t="str">
            <v>pt_cs_3</v>
          </cell>
          <cell r="AG23" t="str">
            <v>pt_ist_te_3</v>
          </cell>
          <cell r="AH23" t="str">
            <v>Тарифы на теплоноситель, поставляемый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8">
          <cell r="AC28" t="str">
            <v>pIns_PT_VTAR_D</v>
          </cell>
          <cell r="AD28" t="str">
            <v>pt_ntar_4</v>
          </cell>
          <cell r="AE28" t="str">
            <v>pt_ter_4</v>
          </cell>
          <cell r="AF28" t="str">
            <v>pt_cs_4</v>
          </cell>
          <cell r="AG28" t="str">
            <v>pt_ist_te_4</v>
          </cell>
          <cell r="AH28"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28" t="str">
            <v/>
          </cell>
          <cell r="AK28" t="str">
            <v/>
          </cell>
          <cell r="AL28" t="str">
            <v/>
          </cell>
          <cell r="AM28" t="str">
            <v/>
          </cell>
          <cell r="AN28">
            <v>0</v>
          </cell>
          <cell r="AO28" t="str">
            <v>.</v>
          </cell>
          <cell r="AP28" t="str">
            <v>..</v>
          </cell>
          <cell r="AQ28" t="str">
            <v>...</v>
          </cell>
        </row>
        <row r="33">
          <cell r="AC33" t="str">
            <v>pIns_PT_VTAR_E1</v>
          </cell>
          <cell r="AD33" t="str">
            <v>pt_ntar_5</v>
          </cell>
          <cell r="AE33" t="str">
            <v>pt_ter_5</v>
          </cell>
          <cell r="AF33" t="str">
            <v>pt_cs_5</v>
          </cell>
          <cell r="AG33" t="str">
            <v>pt_ist_te_5</v>
          </cell>
          <cell r="AH33" t="str">
            <v>Тарифы на услуги по передаче тепловой энергии</v>
          </cell>
          <cell r="AJ33" t="str">
            <v/>
          </cell>
          <cell r="AK33" t="str">
            <v/>
          </cell>
          <cell r="AL33" t="str">
            <v/>
          </cell>
          <cell r="AM33" t="str">
            <v/>
          </cell>
          <cell r="AN33">
            <v>0</v>
          </cell>
          <cell r="AO33" t="str">
            <v>.</v>
          </cell>
          <cell r="AP33" t="str">
            <v>..</v>
          </cell>
          <cell r="AQ33" t="str">
            <v>...</v>
          </cell>
        </row>
        <row r="38">
          <cell r="AC38" t="str">
            <v>pIns_PT_VTAR_E2</v>
          </cell>
          <cell r="AD38" t="str">
            <v>pt_ntar_6</v>
          </cell>
          <cell r="AE38" t="str">
            <v>pt_ter_6</v>
          </cell>
          <cell r="AF38" t="str">
            <v>pt_cs_6</v>
          </cell>
          <cell r="AG38" t="str">
            <v>pt_ist_te_6</v>
          </cell>
          <cell r="AH38" t="str">
            <v>Тарифы на услуги по передаче теплоносителя</v>
          </cell>
          <cell r="AJ38" t="str">
            <v/>
          </cell>
          <cell r="AK38" t="str">
            <v/>
          </cell>
          <cell r="AL38" t="str">
            <v/>
          </cell>
          <cell r="AM38" t="str">
            <v/>
          </cell>
          <cell r="AN38">
            <v>0</v>
          </cell>
          <cell r="AO38" t="str">
            <v>.</v>
          </cell>
          <cell r="AP38" t="str">
            <v>..</v>
          </cell>
          <cell r="AQ38" t="str">
            <v>...</v>
          </cell>
        </row>
        <row r="43">
          <cell r="AC43" t="str">
            <v>pIns_PT_VTAR_F</v>
          </cell>
          <cell r="AD43" t="str">
            <v>pt_ntar_7</v>
          </cell>
          <cell r="AE43" t="str">
            <v>pt_ter_7</v>
          </cell>
          <cell r="AF43" t="str">
            <v>pt_cs_7</v>
          </cell>
          <cell r="AG43" t="str">
            <v>pt_ist_te_7</v>
          </cell>
          <cell r="AH43" t="str">
            <v>Плата за услуги по поддержанию резервной тепловой мощности при отсутствии потребления тепловой энергии</v>
          </cell>
          <cell r="AJ43" t="str">
            <v/>
          </cell>
          <cell r="AK43" t="str">
            <v/>
          </cell>
          <cell r="AL43" t="str">
            <v/>
          </cell>
          <cell r="AM43" t="str">
            <v/>
          </cell>
          <cell r="AN43">
            <v>0</v>
          </cell>
          <cell r="AO43" t="str">
            <v>.</v>
          </cell>
          <cell r="AP43" t="str">
            <v>..</v>
          </cell>
          <cell r="AQ43" t="str">
            <v>...</v>
          </cell>
        </row>
        <row r="48">
          <cell r="AC48" t="str">
            <v>pIns_PT_VTAR_G</v>
          </cell>
          <cell r="AD48" t="str">
            <v>pt_ntar_8</v>
          </cell>
          <cell r="AE48" t="str">
            <v>pt_ter_8</v>
          </cell>
          <cell r="AF48" t="str">
            <v>pt_cs_8</v>
          </cell>
          <cell r="AG48" t="str">
            <v>pt_ist_te_8</v>
          </cell>
          <cell r="AH48" t="str">
            <v>Плата за подключение (технологическое присоединение) к системе теплоснабжения</v>
          </cell>
          <cell r="AJ48" t="str">
            <v/>
          </cell>
          <cell r="AK48" t="str">
            <v/>
          </cell>
          <cell r="AL48" t="str">
            <v/>
          </cell>
          <cell r="AM48" t="str">
            <v/>
          </cell>
          <cell r="AN48">
            <v>0</v>
          </cell>
          <cell r="AO48" t="str">
            <v>.</v>
          </cell>
          <cell r="AP48" t="str">
            <v>..</v>
          </cell>
          <cell r="AQ48" t="str">
            <v>...</v>
          </cell>
        </row>
        <row r="64">
          <cell r="AC64" t="str">
            <v>pIns_PT_VTAR_A_COLDVSNA</v>
          </cell>
          <cell r="AD64" t="str">
            <v>pt_ntar_9</v>
          </cell>
          <cell r="AE64" t="str">
            <v>pt_ter_9</v>
          </cell>
          <cell r="AF64" t="str">
            <v>pt_cs_9</v>
          </cell>
          <cell r="AH64" t="str">
            <v>Тариф на питьевую воду (питьевое водоснабжение)</v>
          </cell>
          <cell r="AJ64" t="str">
            <v/>
          </cell>
          <cell r="AK64" t="str">
            <v/>
          </cell>
          <cell r="AL64" t="str">
            <v/>
          </cell>
          <cell r="AM64" t="str">
            <v/>
          </cell>
          <cell r="AN64">
            <v>0</v>
          </cell>
          <cell r="AO64" t="str">
            <v>.</v>
          </cell>
          <cell r="AP64" t="str">
            <v>..</v>
          </cell>
          <cell r="AQ64" t="str">
            <v>...</v>
          </cell>
        </row>
        <row r="69">
          <cell r="AC69" t="str">
            <v>pIns_PT_VTAR_B_COLDVSNA</v>
          </cell>
          <cell r="AD69" t="str">
            <v>pt_ntar_10</v>
          </cell>
          <cell r="AE69" t="str">
            <v>pt_ter_10</v>
          </cell>
          <cell r="AF69" t="str">
            <v>pt_cs_10</v>
          </cell>
          <cell r="AH69" t="str">
            <v>Тариф на техническую воду</v>
          </cell>
          <cell r="AJ69" t="str">
            <v/>
          </cell>
          <cell r="AK69" t="str">
            <v/>
          </cell>
          <cell r="AL69" t="str">
            <v/>
          </cell>
          <cell r="AM69" t="str">
            <v/>
          </cell>
          <cell r="AN69">
            <v>0</v>
          </cell>
          <cell r="AO69" t="str">
            <v>.</v>
          </cell>
          <cell r="AP69" t="str">
            <v>..</v>
          </cell>
          <cell r="AQ69" t="str">
            <v>...</v>
          </cell>
        </row>
        <row r="74">
          <cell r="AC74" t="str">
            <v>pIns_PT_VTAR_C_COLDVSNA</v>
          </cell>
          <cell r="AD74" t="str">
            <v>pt_ntar_11</v>
          </cell>
          <cell r="AE74" t="str">
            <v>pt_ter_11</v>
          </cell>
          <cell r="AF74" t="str">
            <v>pt_cs_11</v>
          </cell>
          <cell r="AH74" t="str">
            <v>Тариф на транспортировку воды</v>
          </cell>
          <cell r="AJ74" t="str">
            <v/>
          </cell>
          <cell r="AK74" t="str">
            <v/>
          </cell>
          <cell r="AL74" t="str">
            <v/>
          </cell>
          <cell r="AM74" t="str">
            <v/>
          </cell>
          <cell r="AN74">
            <v>0</v>
          </cell>
          <cell r="AO74" t="str">
            <v>.</v>
          </cell>
          <cell r="AP74" t="str">
            <v>..</v>
          </cell>
          <cell r="AQ74" t="str">
            <v>...</v>
          </cell>
        </row>
        <row r="79">
          <cell r="AC79" t="str">
            <v>pIns_PT_VTAR_D_COLDVSNA</v>
          </cell>
          <cell r="AD79" t="str">
            <v>pt_ntar_12</v>
          </cell>
          <cell r="AE79" t="str">
            <v>pt_ter_12</v>
          </cell>
          <cell r="AF79" t="str">
            <v>pt_cs_12</v>
          </cell>
          <cell r="AH79" t="str">
            <v>Тариф на подвоз воды</v>
          </cell>
          <cell r="AJ79" t="str">
            <v/>
          </cell>
          <cell r="AK79" t="str">
            <v/>
          </cell>
          <cell r="AL79" t="str">
            <v/>
          </cell>
          <cell r="AM79" t="str">
            <v/>
          </cell>
          <cell r="AN79">
            <v>0</v>
          </cell>
          <cell r="AO79" t="str">
            <v>.</v>
          </cell>
          <cell r="AP79" t="str">
            <v>..</v>
          </cell>
          <cell r="AQ79" t="str">
            <v>...</v>
          </cell>
        </row>
        <row r="84">
          <cell r="AC84" t="str">
            <v>pIns_PT_VTAR_E_COLDVSNA</v>
          </cell>
          <cell r="AD84" t="str">
            <v>pt_ntar_13</v>
          </cell>
          <cell r="AE84" t="str">
            <v>pt_ter_13</v>
          </cell>
          <cell r="AF84" t="str">
            <v>pt_cs_13</v>
          </cell>
          <cell r="AH84" t="str">
            <v>Тариф на подключение (технологическое присоединение) к централизованной системе холодного водоснабжения</v>
          </cell>
          <cell r="AJ84" t="str">
            <v/>
          </cell>
          <cell r="AK84" t="str">
            <v/>
          </cell>
          <cell r="AL84" t="str">
            <v/>
          </cell>
          <cell r="AM84" t="str">
            <v/>
          </cell>
          <cell r="AN84">
            <v>0</v>
          </cell>
          <cell r="AO84" t="str">
            <v>.</v>
          </cell>
          <cell r="AP84" t="str">
            <v>..</v>
          </cell>
          <cell r="AQ84" t="str">
            <v>...</v>
          </cell>
        </row>
        <row r="90">
          <cell r="AC90" t="str">
            <v>pIns_PT_VTAR_A_HOTVSNA</v>
          </cell>
          <cell r="AD90" t="str">
            <v>pt_ntar_14</v>
          </cell>
          <cell r="AE90" t="str">
            <v>pt_ter_14</v>
          </cell>
          <cell r="AF90" t="str">
            <v>pt_cs_14</v>
          </cell>
          <cell r="AH90" t="str">
            <v>Тариф на горячую воду (горячее водоснабжение)</v>
          </cell>
          <cell r="AJ90" t="str">
            <v/>
          </cell>
          <cell r="AK90" t="str">
            <v/>
          </cell>
          <cell r="AL90" t="str">
            <v/>
          </cell>
          <cell r="AM90" t="str">
            <v/>
          </cell>
          <cell r="AN90">
            <v>0</v>
          </cell>
          <cell r="AO90" t="str">
            <v>.</v>
          </cell>
          <cell r="AP90" t="str">
            <v>..</v>
          </cell>
          <cell r="AQ90" t="str">
            <v>...</v>
          </cell>
        </row>
        <row r="95">
          <cell r="AC95" t="str">
            <v>pIns_PT_VTAR_B_HOTVSNA</v>
          </cell>
          <cell r="AD95" t="str">
            <v>pt_ntar_15</v>
          </cell>
          <cell r="AE95" t="str">
            <v>pt_ter_15</v>
          </cell>
          <cell r="AF95" t="str">
            <v>pt_cs_15</v>
          </cell>
          <cell r="AH95" t="str">
            <v>Тариф на транспортировку горячей воды</v>
          </cell>
          <cell r="AJ95" t="str">
            <v/>
          </cell>
          <cell r="AK95" t="str">
            <v/>
          </cell>
          <cell r="AL95" t="str">
            <v/>
          </cell>
          <cell r="AM95" t="str">
            <v/>
          </cell>
          <cell r="AN95">
            <v>0</v>
          </cell>
          <cell r="AO95" t="str">
            <v>.</v>
          </cell>
          <cell r="AP95" t="str">
            <v>..</v>
          </cell>
          <cell r="AQ95" t="str">
            <v>...</v>
          </cell>
        </row>
        <row r="100">
          <cell r="AC100" t="str">
            <v>pIns_PT_VTAR_C_HOTVSNA</v>
          </cell>
          <cell r="AD100" t="str">
            <v>pt_ntar_16</v>
          </cell>
          <cell r="AE100" t="str">
            <v>pt_ter_16</v>
          </cell>
          <cell r="AF100" t="str">
            <v>pt_cs_16</v>
          </cell>
          <cell r="AH100" t="str">
            <v>Тариф на подключение (технологическое присоединение) к централизованной системе горячего водоснабжения</v>
          </cell>
          <cell r="AJ100" t="str">
            <v/>
          </cell>
          <cell r="AK100" t="str">
            <v/>
          </cell>
          <cell r="AL100" t="str">
            <v/>
          </cell>
          <cell r="AM100" t="str">
            <v/>
          </cell>
          <cell r="AN100">
            <v>0</v>
          </cell>
          <cell r="AO100" t="str">
            <v>.</v>
          </cell>
          <cell r="AP100" t="str">
            <v>..</v>
          </cell>
          <cell r="AQ100" t="str">
            <v>...</v>
          </cell>
        </row>
        <row r="106">
          <cell r="AC106" t="str">
            <v>pIns_PT_VTAR_A_VOTV</v>
          </cell>
          <cell r="AD106" t="str">
            <v>pt_ntar_17</v>
          </cell>
          <cell r="AE106" t="str">
            <v>pt_ter_17</v>
          </cell>
          <cell r="AF106" t="str">
            <v>pt_cs_17</v>
          </cell>
          <cell r="AH106" t="str">
            <v>Тариф на водоотведение</v>
          </cell>
          <cell r="AJ106" t="str">
            <v/>
          </cell>
          <cell r="AK106" t="str">
            <v/>
          </cell>
          <cell r="AL106" t="str">
            <v/>
          </cell>
          <cell r="AM106" t="str">
            <v/>
          </cell>
          <cell r="AN106">
            <v>0</v>
          </cell>
          <cell r="AO106" t="str">
            <v>.</v>
          </cell>
          <cell r="AP106" t="str">
            <v>..</v>
          </cell>
          <cell r="AQ106" t="str">
            <v>...</v>
          </cell>
        </row>
        <row r="111">
          <cell r="AC111" t="str">
            <v>pIns_PT_VTAR_B_VOTV</v>
          </cell>
          <cell r="AD111" t="str">
            <v>pt_ntar_18</v>
          </cell>
          <cell r="AE111" t="str">
            <v>pt_ter_18</v>
          </cell>
          <cell r="AF111" t="str">
            <v>pt_cs_18</v>
          </cell>
          <cell r="AH111" t="str">
            <v>Тариф на транспортировку сточных вод</v>
          </cell>
          <cell r="AJ111" t="str">
            <v/>
          </cell>
          <cell r="AK111" t="str">
            <v/>
          </cell>
          <cell r="AL111" t="str">
            <v/>
          </cell>
          <cell r="AM111" t="str">
            <v/>
          </cell>
          <cell r="AN111">
            <v>0</v>
          </cell>
          <cell r="AO111" t="str">
            <v>.</v>
          </cell>
          <cell r="AP111" t="str">
            <v>..</v>
          </cell>
          <cell r="AQ111" t="str">
            <v>...</v>
          </cell>
        </row>
        <row r="116">
          <cell r="AC116" t="str">
            <v>pIns_PT_VTAR_C_VOTV</v>
          </cell>
          <cell r="AD116" t="str">
            <v>pt_ntar_19</v>
          </cell>
          <cell r="AE116" t="str">
            <v>pt_ter_19</v>
          </cell>
          <cell r="AF116" t="str">
            <v>pt_cs_19</v>
          </cell>
          <cell r="AH116" t="str">
            <v>Тариф на подключение (технологическое присоединение) к централизованной системе водоотведения</v>
          </cell>
          <cell r="AJ116" t="str">
            <v/>
          </cell>
          <cell r="AK116" t="str">
            <v/>
          </cell>
          <cell r="AL116" t="str">
            <v/>
          </cell>
          <cell r="AM116" t="str">
            <v/>
          </cell>
          <cell r="AN116">
            <v>0</v>
          </cell>
          <cell r="AO116" t="str">
            <v>.</v>
          </cell>
          <cell r="AP116" t="str">
            <v>..</v>
          </cell>
          <cell r="AQ116" t="str">
            <v>...</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0" refreshError="1"/>
      <sheetData sheetId="31" refreshError="1"/>
      <sheetData sheetId="32" refreshError="1"/>
      <sheetData sheetId="33" refreshError="1"/>
      <sheetData sheetId="34" refreshError="1"/>
      <sheetData sheetId="35">
        <row r="11">
          <cell r="AD11" t="str">
            <v>ip_1</v>
          </cell>
        </row>
        <row r="13">
          <cell r="G13" t="str">
            <v>Добавить инвестиционную программу</v>
          </cell>
        </row>
      </sheetData>
      <sheetData sheetId="36" refreshError="1"/>
      <sheetData sheetId="37" refreshError="1"/>
      <sheetData sheetId="38" refreshError="1"/>
      <sheetData sheetId="39"/>
      <sheetData sheetId="40" refreshError="1"/>
      <sheetData sheetId="41" refreshError="1"/>
      <sheetData sheetId="42"/>
      <sheetData sheetId="43" refreshError="1"/>
      <sheetData sheetId="44" refreshError="1"/>
      <sheetData sheetId="45" refreshError="1"/>
      <sheetData sheetId="46" refreshError="1"/>
      <sheetData sheetId="47">
        <row r="12">
          <cell r="F12" t="str">
            <v>Акционерное общество "Уральский завод металлоконструкций", г.Екатеринбург</v>
          </cell>
        </row>
      </sheetData>
      <sheetData sheetId="48" refreshError="1"/>
      <sheetData sheetId="49" refreshError="1"/>
      <sheetData sheetId="50" refreshError="1"/>
      <sheetData sheetId="51" refreshError="1"/>
      <sheetData sheetId="52" refreshError="1"/>
      <sheetData sheetId="53" refreshError="1"/>
      <sheetData sheetId="54">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0</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смешанное налогообложение</v>
          </cell>
          <cell r="O7" t="str">
            <v>отборный пар, &gt; 13 кг/см2</v>
          </cell>
          <cell r="BB7" t="str">
            <v>мазут</v>
          </cell>
        </row>
        <row r="8">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BB19" t="str">
            <v>смола</v>
          </cell>
        </row>
        <row r="20">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HOTVSNA</v>
          </cell>
          <cell r="F36" t="str">
            <v>горячего водоснабжения</v>
          </cell>
          <cell r="G36" t="str">
            <v>горячее водоснабжение</v>
          </cell>
        </row>
        <row r="45">
          <cell r="E45" t="str">
            <v>Q</v>
          </cell>
          <cell r="J45" t="str">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ell>
          <cell r="K45" t="str">
            <v>Перечень муниципальных районов и муниципальных образований (территорий действия тарифа)</v>
          </cell>
        </row>
        <row r="46">
          <cell r="F46" t="str">
            <v>O</v>
          </cell>
          <cell r="I46" t="b">
            <v>1</v>
          </cell>
          <cell r="J46" t="str">
            <v>Общая информация о регулируемой организации (горячего водоснабжения)</v>
          </cell>
        </row>
        <row r="47">
          <cell r="F47" t="str">
            <v>Q</v>
          </cell>
          <cell r="G47" t="str">
            <v>01.07.2023</v>
          </cell>
          <cell r="H47" t="str">
            <v>30.09.2023</v>
          </cell>
          <cell r="I47" t="b">
            <v>0</v>
          </cell>
          <cell r="J47" t="str">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ell>
        </row>
        <row r="48">
          <cell r="F48" t="str">
            <v>B</v>
          </cell>
          <cell r="G48" t="str">
            <v>01.01.2023</v>
          </cell>
          <cell r="H48" t="str">
            <v>31.12.2023</v>
          </cell>
          <cell r="I48" t="b">
            <v>0</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01.01.2023</v>
          </cell>
          <cell r="H49" t="str">
            <v>31.12.2023</v>
          </cell>
          <cell r="I49" t="b">
            <v>0</v>
          </cell>
          <cell r="J49" t="str">
            <v>Информация об условиях, на которых осуществляется поставка товаров (оказание услуг) в сфере горячего водоснабжения</v>
          </cell>
        </row>
        <row r="50">
          <cell r="F50" t="str">
            <v>I</v>
          </cell>
          <cell r="G50" t="str">
            <v>01.01.2023</v>
          </cell>
          <cell r="H50" t="str">
            <v>31.12.2023</v>
          </cell>
          <cell r="I50" t="b">
            <v>0</v>
          </cell>
          <cell r="J50" t="str">
            <v>Информация об инвестиционных программах регулируемой организации в области горячего водоснабжения</v>
          </cell>
        </row>
        <row r="51">
          <cell r="F51" t="str">
            <v>R</v>
          </cell>
          <cell r="G51" t="str">
            <v/>
          </cell>
          <cell r="H51" t="str">
            <v/>
          </cell>
          <cell r="I51" t="b">
            <v>1</v>
          </cell>
          <cell r="J51" t="str">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
          </cell>
          <cell r="H52" t="str">
            <v/>
          </cell>
          <cell r="I52" t="b">
            <v>1</v>
          </cell>
          <cell r="J52" t="str">
            <v>Показатели, подлежащие раскрытию в сфере горячего водоснабжения (цены и тарифы)</v>
          </cell>
        </row>
        <row r="53">
          <cell r="F53" t="str">
            <v>ROIV</v>
          </cell>
          <cell r="G53" t="str">
            <v>01.01.2023</v>
          </cell>
          <cell r="H53" t="str">
            <v>31.12.2023</v>
          </cell>
          <cell r="I53" t="b">
            <v>0</v>
          </cell>
          <cell r="J53" t="str">
            <v>Показатели, подлежащие раскрытию органами регулирования</v>
          </cell>
        </row>
        <row r="97">
          <cell r="AZ97" t="str">
            <v>информация об органе регулирования и перечень организаций</v>
          </cell>
        </row>
        <row r="98">
          <cell r="AZ98" t="str">
            <v>информация о делах об установлении тарифов</v>
          </cell>
        </row>
        <row r="99">
          <cell r="AZ99" t="str">
            <v>информация о привлечение к ответственности</v>
          </cell>
        </row>
        <row r="102">
          <cell r="AZ102" t="str">
            <v>тыс.руб./Гкал/ч</v>
          </cell>
        </row>
        <row r="103">
          <cell r="AZ103" t="str">
            <v>тыс.руб.</v>
          </cell>
        </row>
        <row r="104">
          <cell r="AZ104" t="str">
            <v>руб.</v>
          </cell>
        </row>
      </sheetData>
      <sheetData sheetId="55">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ell>
        </row>
        <row r="4">
          <cell r="C4" t="str">
            <v>Форма 1. Информация об организации, осуществляющей горячее водоснабжение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горячее водоснабжение (общая информация)</v>
          </cell>
          <cell r="H4" t="str">
            <v>Форма 1. Информация об организации (общая информация)</v>
          </cell>
        </row>
        <row r="5">
          <cell r="C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ell>
          <cell r="D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E6" t="str">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ell>
        </row>
        <row r="7">
          <cell r="C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ell>
        </row>
        <row r="31">
          <cell r="C31" t="str">
            <v>Форма 1. Информация об организации, осуществляющей горячее водоснабжение (общая информация)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горячее водоснабжение (общая информация)</v>
          </cell>
        </row>
        <row r="32">
          <cell r="C32" t="str">
            <v>Форма 7. Информация об инвестиционных программах организации горячего водоснабжения и отчетах об их исполнении</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горячего водоснабжения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56">
        <row r="2">
          <cell r="Z2" t="str">
            <v>HEAT</v>
          </cell>
          <cell r="AA2" t="str">
            <v>COLDVSNA</v>
          </cell>
          <cell r="AB2" t="str">
            <v>HOTVSNA</v>
          </cell>
          <cell r="AC2" t="str">
            <v>VOTV</v>
          </cell>
          <cell r="AD2" t="str">
            <v>TKO</v>
          </cell>
        </row>
        <row r="3">
          <cell r="N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горячего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row>
        <row r="16">
          <cell r="N16" t="str">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ell>
        </row>
        <row r="18">
          <cell r="L18">
            <v>1</v>
          </cell>
          <cell r="M18" t="str">
            <v>Выручка от регулируемых видов деятельности в сфере горячего водоснабжения</v>
          </cell>
          <cell r="N18" t="str">
            <v>Указывается выручка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регулируемым видам деятельности в сфере горячего водоснабжения,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используемую для горячего водоснабжения</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
          </cell>
          <cell r="M21" t="str">
            <v/>
          </cell>
          <cell r="N21" t="str">
            <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2.2</v>
          </cell>
          <cell r="M22" t="str">
            <v>Расходы на тепловую энергию, производимую с применением собственных источников и используемую для горячего водоснабжения</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2.3</v>
          </cell>
          <cell r="M23" t="str">
            <v>Расходы на приобретаемую холодную воду, используемую для горячего водоснабжения</v>
          </cell>
          <cell r="N23" t="str">
            <v/>
          </cell>
          <cell r="Q23" t="str">
            <v>2.3</v>
          </cell>
          <cell r="V23" t="str">
            <v>Расходы на приобретаемую холодную воду, используемую для горячего водоснабжения</v>
          </cell>
        </row>
        <row r="24">
          <cell r="L24" t="str">
            <v>2.4</v>
          </cell>
          <cell r="M24" t="str">
            <v>Расходы на холодную воду, получаемую с применением собственных источников водозабора (скважин) и используемую для горячего водоснабжения</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2.5</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2.5.1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 (с учетом мощности)</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2.5.2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
          </cell>
          <cell r="M28" t="str">
            <v/>
          </cell>
          <cell r="N28" t="str">
            <v/>
          </cell>
          <cell r="O28" t="str">
            <v>2.4</v>
          </cell>
          <cell r="T28" t="str">
            <v>Расходы на приобретение холодной воды, используемой в технологическом процессе</v>
          </cell>
        </row>
        <row r="29">
          <cell r="L29" t="str">
            <v/>
          </cell>
          <cell r="M29" t="str">
            <v/>
          </cell>
          <cell r="N29" t="str">
            <v/>
          </cell>
          <cell r="O29" t="str">
            <v>2.5</v>
          </cell>
          <cell r="P29" t="str">
            <v>2.3</v>
          </cell>
          <cell r="R29" t="str">
            <v>2.3</v>
          </cell>
          <cell r="T29" t="str">
            <v>Расходы на химические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Указывается общая сумма расходов на оплату труда и отчислений на социальные нужды основного производственного персонала.</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Указывается общая сумма расходов на оплату труда и отчислений на социальные нужды административно-управленческого персонала.</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регулируемых видов деятельности в сфере горячего водоснабжения</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2.13</v>
          </cell>
          <cell r="M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N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2.13.1</v>
          </cell>
          <cell r="M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2.14</v>
          </cell>
          <cell r="M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N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
          </cell>
          <cell r="M51" t="str">
            <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3</v>
          </cell>
          <cell r="M52" t="str">
            <v>Чистая прибыль, полученная от регулируемого вида деятельности в сфере горячего водоснабжения,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3.1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4</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4.1</v>
          </cell>
          <cell r="M55" t="str">
            <v>Изменение стоимости основных фондов за счет их ввода в эксплуатацию (вывода из эксплуатации)</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Изменение стоимости основных фондов за счет:</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4.1.1</v>
          </cell>
          <cell r="M56" t="str">
            <v>Изменение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Изменения стоимости основных фондов 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4.1.2</v>
          </cell>
          <cell r="M57" t="str">
            <v>Изменение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Изменения стоимости основных фондов 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4.2</v>
          </cell>
          <cell r="M58" t="str">
            <v>Изменение стоимости основных фондов за счет их переоценки</v>
          </cell>
          <cell r="N58" t="str">
            <v/>
          </cell>
          <cell r="O58" t="str">
            <v>5.2</v>
          </cell>
          <cell r="P58" t="str">
            <v>4.2</v>
          </cell>
          <cell r="Q58" t="str">
            <v>4.2</v>
          </cell>
          <cell r="R58" t="str">
            <v>4.2</v>
          </cell>
          <cell r="T58" t="str">
            <v>Изменение стоимости основных фондов 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5</v>
          </cell>
          <cell r="M59" t="str">
            <v>Валовая прибыль (убытки) от продажи товаров и услуг по регулируемым видам деятельности в сфере горячего водоснабжения</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7</v>
          </cell>
          <cell r="M70" t="str">
            <v>Объём приобретаемой холодной воды, используемой для горячего водоснабжения</v>
          </cell>
          <cell r="N70" t="str">
            <v/>
          </cell>
          <cell r="Q70" t="str">
            <v>7</v>
          </cell>
          <cell r="V70" t="str">
            <v>Объём приобретаемой холодной воды, используемой для горячего водоснабжения</v>
          </cell>
        </row>
        <row r="71">
          <cell r="L71" t="str">
            <v>8</v>
          </cell>
          <cell r="M71" t="str">
            <v>Объём холодной воды, получаемой с применением собственных источников водозабора (скважин) и используемой для горячего водоснабжения</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9</v>
          </cell>
          <cell r="M72" t="str">
            <v>Объём приобретаемой тепловой энергии (мощности), используемой для горячего водоснабжения</v>
          </cell>
          <cell r="N72" t="str">
            <v/>
          </cell>
          <cell r="Q72" t="str">
            <v>9</v>
          </cell>
          <cell r="V72" t="str">
            <v>Объём приобретаемой тепловой энергии (мощности), используемой для горячего водоснабжения</v>
          </cell>
        </row>
        <row r="73">
          <cell r="L73" t="str">
            <v>10</v>
          </cell>
          <cell r="M73" t="str">
            <v>Объём тепловой энергии, производимой с применением собственных источников и используемой для горячего водоснабжения</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11</v>
          </cell>
          <cell r="M74" t="str">
            <v>Потери горячей воды в сетях (процентов)</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
          </cell>
          <cell r="M78" t="str">
            <v/>
          </cell>
          <cell r="N78" t="str">
            <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
          </cell>
          <cell r="M79" t="str">
            <v/>
          </cell>
          <cell r="N79" t="str">
            <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
          </cell>
          <cell r="M80" t="str">
            <v/>
          </cell>
          <cell r="N80" t="str">
            <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
          </cell>
          <cell r="M81" t="str">
            <v/>
          </cell>
          <cell r="N81" t="str">
            <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
          </cell>
          <cell r="M82" t="str">
            <v/>
          </cell>
          <cell r="N82" t="str">
            <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
          </cell>
          <cell r="M83" t="str">
            <v/>
          </cell>
          <cell r="N83" t="str">
            <v/>
          </cell>
          <cell r="O83" t="str">
            <v>10.1</v>
          </cell>
          <cell r="T83" t="str">
            <v xml:space="preserve">По приборам учёта </v>
          </cell>
        </row>
        <row r="84">
          <cell r="L84" t="str">
            <v/>
          </cell>
          <cell r="M84" t="str">
            <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
          </cell>
          <cell r="M85" t="str">
            <v/>
          </cell>
          <cell r="N85" t="str">
            <v/>
          </cell>
          <cell r="O85" t="str">
            <v>10.2</v>
          </cell>
          <cell r="T85" t="str">
            <v>Расчётным путём</v>
          </cell>
        </row>
        <row r="86">
          <cell r="L86" t="str">
            <v/>
          </cell>
          <cell r="M86" t="str">
            <v/>
          </cell>
          <cell r="N86" t="str">
            <v/>
          </cell>
          <cell r="O86" t="str">
            <v>10.3</v>
          </cell>
          <cell r="T86" t="str">
            <v>По нормативам потребления коммунальных услуг и нормативам потребления коммунальных ресурсов</v>
          </cell>
        </row>
        <row r="87">
          <cell r="L87" t="str">
            <v/>
          </cell>
          <cell r="M87" t="str">
            <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
          </cell>
          <cell r="M88" t="str">
            <v/>
          </cell>
          <cell r="N88" t="str">
            <v/>
          </cell>
          <cell r="O88" t="str">
            <v>12</v>
          </cell>
          <cell r="T88" t="str">
            <v>Фактический объем потерь при передаче тепловой энергии</v>
          </cell>
        </row>
        <row r="89">
          <cell r="L89" t="str">
            <v>12</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
          </cell>
          <cell r="M90" t="str">
            <v/>
          </cell>
          <cell r="N90" t="str">
            <v/>
          </cell>
          <cell r="O90" t="str">
            <v>14</v>
          </cell>
          <cell r="T90" t="str">
            <v>Среднесписочная численность административно-управленческого персонала</v>
          </cell>
        </row>
        <row r="91">
          <cell r="L91" t="str">
            <v>13</v>
          </cell>
          <cell r="M91" t="str">
            <v>Удельный расход электрической энергии на подачу воды в сеть</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
          </cell>
          <cell r="M95" t="str">
            <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
          </cell>
          <cell r="M96" t="str">
            <v/>
          </cell>
          <cell r="N96" t="str">
            <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
          </cell>
          <cell r="M97" t="str">
            <v/>
          </cell>
          <cell r="N97" t="str">
            <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
          </cell>
          <cell r="M98" t="str">
            <v/>
          </cell>
          <cell r="N98" t="str">
            <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
          </cell>
          <cell r="M99" t="str">
            <v/>
          </cell>
          <cell r="N99" t="str">
            <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
          </cell>
          <cell r="M100" t="str">
            <v/>
          </cell>
          <cell r="N100" t="str">
            <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
          </cell>
          <cell r="M101" t="str">
            <v/>
          </cell>
          <cell r="N101" t="str">
            <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ow r="2">
          <cell r="B2" t="str">
            <v>Территория 1</v>
          </cell>
        </row>
      </sheetData>
      <sheetData sheetId="77" refreshError="1"/>
      <sheetData sheetId="78">
        <row r="2">
          <cell r="A2" t="str">
            <v>4189702</v>
          </cell>
          <cell r="B2" t="str">
            <v>Горячее водоснабжение</v>
          </cell>
        </row>
        <row r="3">
          <cell r="A3" t="str">
            <v>4189703</v>
          </cell>
          <cell r="B3" t="str">
            <v>Транспортировка</v>
          </cell>
        </row>
        <row r="4">
          <cell r="A4" t="str">
            <v>4189704</v>
          </cell>
          <cell r="B4" t="str">
            <v>Подключение (технологическое присоединение) к централизованной системе горячего водоснабжения</v>
          </cell>
        </row>
      </sheetData>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hor"/>
      <sheetName val="TEHSHEET"/>
      <sheetName val="DATA_FORMS"/>
      <sheetName val="DATA_NPA"/>
      <sheetName val="Т-ТЭ | потр"/>
      <sheetName val="Т-ТЭ | предел"/>
      <sheetName val="Т-ТЭ | индикат"/>
      <sheetName val="Т-подкл(инд)"/>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PP110.OPEN.INFO.QUARTER.HEAT.EIAS</v>
          </cell>
        </row>
        <row r="3">
          <cell r="B3" t="str">
            <v>Версия отчёта: 1.0.5</v>
          </cell>
        </row>
      </sheetData>
      <sheetData sheetId="1">
        <row r="5">
          <cell r="E5"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row>
        <row r="7">
          <cell r="F7" t="str">
            <v>Свердловская область</v>
          </cell>
        </row>
        <row r="11">
          <cell r="F11" t="str">
            <v/>
          </cell>
        </row>
        <row r="13">
          <cell r="F13" t="str">
            <v/>
          </cell>
        </row>
        <row r="14">
          <cell r="F14">
            <v>2023</v>
          </cell>
        </row>
        <row r="15">
          <cell r="F15" t="str">
            <v>III квартал</v>
          </cell>
        </row>
        <row r="31">
          <cell r="F31" t="str">
            <v>Акционерное общество "Уральский завод металлоконструкций", г.Екатеринбург</v>
          </cell>
        </row>
        <row r="33">
          <cell r="F33" t="str">
            <v>6660000590</v>
          </cell>
        </row>
        <row r="34">
          <cell r="F34" t="str">
            <v>667001001</v>
          </cell>
        </row>
        <row r="41">
          <cell r="F41" t="str">
            <v>нет</v>
          </cell>
        </row>
      </sheetData>
      <sheetData sheetId="2">
        <row r="12">
          <cell r="F12" t="str">
            <v>ter_1</v>
          </cell>
          <cell r="G12" t="str">
            <v>Территория 1</v>
          </cell>
        </row>
        <row r="13">
          <cell r="F13" t="str">
            <v>94</v>
          </cell>
          <cell r="G13" t="str">
            <v>муниципальное образование город Екатеринбург</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t="str">
            <v>Производство тепловой энергии. Некомбинированная выработка; Передача. Тепловая энергия; Сбыт. Тепловая энергия</v>
          </cell>
          <cell r="Q13" t="str">
            <v>без дифференциации</v>
          </cell>
          <cell r="R13" t="str">
            <v>без дифференциации</v>
          </cell>
        </row>
        <row r="16">
          <cell r="O16" t="str">
            <v>diff_66</v>
          </cell>
          <cell r="P16" t="str">
            <v>Производство. Теплоноситель; Передача. Теплоноситель; Сбыт. Теплоноситель</v>
          </cell>
          <cell r="Q16" t="str">
            <v>без дифференциации</v>
          </cell>
          <cell r="R16"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Тарифы на тепловую энергию (мощность), поставляемую теплоснабжающими организациями потребителям, другим теплоснабжающим организациям</v>
          </cell>
          <cell r="AJ18" t="str">
            <v/>
          </cell>
          <cell r="AK18" t="str">
            <v/>
          </cell>
          <cell r="AL18" t="str">
            <v/>
          </cell>
          <cell r="AM18" t="str">
            <v/>
          </cell>
          <cell r="AN18">
            <v>0</v>
          </cell>
          <cell r="AO18" t="str">
            <v>.</v>
          </cell>
          <cell r="AP18" t="str">
            <v>..</v>
          </cell>
          <cell r="AQ18" t="str">
            <v>...</v>
          </cell>
        </row>
        <row r="23">
          <cell r="AC23" t="str">
            <v>pIns_PT_VTAR_C</v>
          </cell>
          <cell r="AD23" t="str">
            <v>pt_ntar_3</v>
          </cell>
          <cell r="AE23" t="str">
            <v>pt_ter_3</v>
          </cell>
          <cell r="AF23" t="str">
            <v>pt_cs_3</v>
          </cell>
          <cell r="AG23" t="str">
            <v>pt_ist_te_3</v>
          </cell>
          <cell r="AH23" t="str">
            <v>Тарифы на теплоноситель, поставляемый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8">
          <cell r="AC28" t="str">
            <v>pIns_PT_VTAR_D</v>
          </cell>
          <cell r="AD28" t="str">
            <v>pt_ntar_4</v>
          </cell>
          <cell r="AE28" t="str">
            <v>pt_ter_4</v>
          </cell>
          <cell r="AF28" t="str">
            <v>pt_cs_4</v>
          </cell>
          <cell r="AG28" t="str">
            <v>pt_ist_te_4</v>
          </cell>
          <cell r="AH28"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28" t="str">
            <v/>
          </cell>
          <cell r="AK28" t="str">
            <v/>
          </cell>
          <cell r="AL28" t="str">
            <v/>
          </cell>
          <cell r="AM28" t="str">
            <v/>
          </cell>
          <cell r="AN28">
            <v>0</v>
          </cell>
          <cell r="AO28" t="str">
            <v>.</v>
          </cell>
          <cell r="AP28" t="str">
            <v>..</v>
          </cell>
          <cell r="AQ28" t="str">
            <v>...</v>
          </cell>
        </row>
        <row r="33">
          <cell r="AC33" t="str">
            <v>pIns_PT_VTAR_E1</v>
          </cell>
          <cell r="AD33" t="str">
            <v>pt_ntar_5</v>
          </cell>
          <cell r="AE33" t="str">
            <v>pt_ter_5</v>
          </cell>
          <cell r="AF33" t="str">
            <v>pt_cs_5</v>
          </cell>
          <cell r="AG33" t="str">
            <v>pt_ist_te_5</v>
          </cell>
          <cell r="AH33" t="str">
            <v>Тарифы на услуги по передаче тепловой энергии</v>
          </cell>
          <cell r="AJ33" t="str">
            <v/>
          </cell>
          <cell r="AK33" t="str">
            <v/>
          </cell>
          <cell r="AL33" t="str">
            <v/>
          </cell>
          <cell r="AM33" t="str">
            <v/>
          </cell>
          <cell r="AN33">
            <v>0</v>
          </cell>
          <cell r="AO33" t="str">
            <v>.</v>
          </cell>
          <cell r="AP33" t="str">
            <v>..</v>
          </cell>
          <cell r="AQ33" t="str">
            <v>...</v>
          </cell>
        </row>
        <row r="38">
          <cell r="AC38" t="str">
            <v>pIns_PT_VTAR_E2</v>
          </cell>
          <cell r="AD38" t="str">
            <v>pt_ntar_6</v>
          </cell>
          <cell r="AE38" t="str">
            <v>pt_ter_6</v>
          </cell>
          <cell r="AF38" t="str">
            <v>pt_cs_6</v>
          </cell>
          <cell r="AG38" t="str">
            <v>pt_ist_te_6</v>
          </cell>
          <cell r="AH38" t="str">
            <v>Тарифы на услуги по передаче теплоносителя</v>
          </cell>
          <cell r="AJ38" t="str">
            <v/>
          </cell>
          <cell r="AK38" t="str">
            <v/>
          </cell>
          <cell r="AL38" t="str">
            <v/>
          </cell>
          <cell r="AM38" t="str">
            <v/>
          </cell>
          <cell r="AN38">
            <v>0</v>
          </cell>
          <cell r="AO38" t="str">
            <v>.</v>
          </cell>
          <cell r="AP38" t="str">
            <v>..</v>
          </cell>
          <cell r="AQ38" t="str">
            <v>...</v>
          </cell>
        </row>
        <row r="43">
          <cell r="AC43" t="str">
            <v>pIns_PT_VTAR_F</v>
          </cell>
          <cell r="AD43" t="str">
            <v>pt_ntar_7</v>
          </cell>
          <cell r="AE43" t="str">
            <v>pt_ter_7</v>
          </cell>
          <cell r="AF43" t="str">
            <v>pt_cs_7</v>
          </cell>
          <cell r="AG43" t="str">
            <v>pt_ist_te_7</v>
          </cell>
          <cell r="AH43" t="str">
            <v>Плата за услуги по поддержанию резервной тепловой мощности при отсутствии потребления тепловой энергии</v>
          </cell>
          <cell r="AJ43" t="str">
            <v/>
          </cell>
          <cell r="AK43" t="str">
            <v/>
          </cell>
          <cell r="AL43" t="str">
            <v/>
          </cell>
          <cell r="AM43" t="str">
            <v/>
          </cell>
          <cell r="AN43">
            <v>0</v>
          </cell>
          <cell r="AO43" t="str">
            <v>.</v>
          </cell>
          <cell r="AP43" t="str">
            <v>..</v>
          </cell>
          <cell r="AQ43" t="str">
            <v>...</v>
          </cell>
        </row>
        <row r="48">
          <cell r="AC48" t="str">
            <v>pIns_PT_VTAR_G</v>
          </cell>
          <cell r="AD48" t="str">
            <v>pt_ntar_8</v>
          </cell>
          <cell r="AE48" t="str">
            <v>pt_ter_8</v>
          </cell>
          <cell r="AF48" t="str">
            <v>pt_cs_8</v>
          </cell>
          <cell r="AG48" t="str">
            <v>pt_ist_te_8</v>
          </cell>
          <cell r="AH48" t="str">
            <v>Плата за подключение (технологическое присоединение) к системе теплоснабжения</v>
          </cell>
          <cell r="AJ48" t="str">
            <v/>
          </cell>
          <cell r="AK48" t="str">
            <v/>
          </cell>
          <cell r="AL48" t="str">
            <v/>
          </cell>
          <cell r="AM48" t="str">
            <v/>
          </cell>
          <cell r="AN48">
            <v>0</v>
          </cell>
          <cell r="AO48" t="str">
            <v>.</v>
          </cell>
          <cell r="AP48" t="str">
            <v>..</v>
          </cell>
          <cell r="AQ48" t="str">
            <v>...</v>
          </cell>
        </row>
        <row r="64">
          <cell r="AC64" t="str">
            <v>pIns_PT_VTAR_A_COLDVSNA</v>
          </cell>
          <cell r="AD64" t="str">
            <v>pt_ntar_9</v>
          </cell>
          <cell r="AE64" t="str">
            <v>pt_ter_9</v>
          </cell>
          <cell r="AF64" t="str">
            <v>pt_cs_9</v>
          </cell>
          <cell r="AH64" t="str">
            <v>Тариф на питьевую воду (питьевое водоснабжение)</v>
          </cell>
          <cell r="AJ64" t="str">
            <v/>
          </cell>
          <cell r="AK64" t="str">
            <v/>
          </cell>
          <cell r="AL64" t="str">
            <v/>
          </cell>
          <cell r="AM64" t="str">
            <v/>
          </cell>
          <cell r="AN64">
            <v>0</v>
          </cell>
          <cell r="AO64" t="str">
            <v>.</v>
          </cell>
          <cell r="AP64" t="str">
            <v>..</v>
          </cell>
          <cell r="AQ64" t="str">
            <v>...</v>
          </cell>
        </row>
        <row r="69">
          <cell r="AC69" t="str">
            <v>pIns_PT_VTAR_B_COLDVSNA</v>
          </cell>
          <cell r="AD69" t="str">
            <v>pt_ntar_10</v>
          </cell>
          <cell r="AE69" t="str">
            <v>pt_ter_10</v>
          </cell>
          <cell r="AF69" t="str">
            <v>pt_cs_10</v>
          </cell>
          <cell r="AH69" t="str">
            <v>Тариф на техническую воду</v>
          </cell>
          <cell r="AJ69" t="str">
            <v/>
          </cell>
          <cell r="AK69" t="str">
            <v/>
          </cell>
          <cell r="AL69" t="str">
            <v/>
          </cell>
          <cell r="AM69" t="str">
            <v/>
          </cell>
          <cell r="AN69">
            <v>0</v>
          </cell>
          <cell r="AO69" t="str">
            <v>.</v>
          </cell>
          <cell r="AP69" t="str">
            <v>..</v>
          </cell>
          <cell r="AQ69" t="str">
            <v>...</v>
          </cell>
        </row>
        <row r="74">
          <cell r="AC74" t="str">
            <v>pIns_PT_VTAR_C_COLDVSNA</v>
          </cell>
          <cell r="AD74" t="str">
            <v>pt_ntar_11</v>
          </cell>
          <cell r="AE74" t="str">
            <v>pt_ter_11</v>
          </cell>
          <cell r="AF74" t="str">
            <v>pt_cs_11</v>
          </cell>
          <cell r="AH74" t="str">
            <v>Тариф на транспортировку воды</v>
          </cell>
          <cell r="AJ74" t="str">
            <v/>
          </cell>
          <cell r="AK74" t="str">
            <v/>
          </cell>
          <cell r="AL74" t="str">
            <v/>
          </cell>
          <cell r="AM74" t="str">
            <v/>
          </cell>
          <cell r="AN74">
            <v>0</v>
          </cell>
          <cell r="AO74" t="str">
            <v>.</v>
          </cell>
          <cell r="AP74" t="str">
            <v>..</v>
          </cell>
          <cell r="AQ74" t="str">
            <v>...</v>
          </cell>
        </row>
        <row r="79">
          <cell r="AC79" t="str">
            <v>pIns_PT_VTAR_D_COLDVSNA</v>
          </cell>
          <cell r="AD79" t="str">
            <v>pt_ntar_12</v>
          </cell>
          <cell r="AE79" t="str">
            <v>pt_ter_12</v>
          </cell>
          <cell r="AF79" t="str">
            <v>pt_cs_12</v>
          </cell>
          <cell r="AH79" t="str">
            <v>Тариф на подвоз воды</v>
          </cell>
          <cell r="AJ79" t="str">
            <v/>
          </cell>
          <cell r="AK79" t="str">
            <v/>
          </cell>
          <cell r="AL79" t="str">
            <v/>
          </cell>
          <cell r="AM79" t="str">
            <v/>
          </cell>
          <cell r="AN79">
            <v>0</v>
          </cell>
          <cell r="AO79" t="str">
            <v>.</v>
          </cell>
          <cell r="AP79" t="str">
            <v>..</v>
          </cell>
          <cell r="AQ79" t="str">
            <v>...</v>
          </cell>
        </row>
        <row r="84">
          <cell r="AC84" t="str">
            <v>pIns_PT_VTAR_E_COLDVSNA</v>
          </cell>
          <cell r="AD84" t="str">
            <v>pt_ntar_13</v>
          </cell>
          <cell r="AE84" t="str">
            <v>pt_ter_13</v>
          </cell>
          <cell r="AF84" t="str">
            <v>pt_cs_13</v>
          </cell>
          <cell r="AH84" t="str">
            <v>Тариф на подключение (технологическое присоединение) к централизованной системе холодного водоснабжения</v>
          </cell>
          <cell r="AJ84" t="str">
            <v/>
          </cell>
          <cell r="AK84" t="str">
            <v/>
          </cell>
          <cell r="AL84" t="str">
            <v/>
          </cell>
          <cell r="AM84" t="str">
            <v/>
          </cell>
          <cell r="AN84">
            <v>0</v>
          </cell>
          <cell r="AO84" t="str">
            <v>.</v>
          </cell>
          <cell r="AP84" t="str">
            <v>..</v>
          </cell>
          <cell r="AQ84" t="str">
            <v>...</v>
          </cell>
        </row>
        <row r="90">
          <cell r="AC90" t="str">
            <v>pIns_PT_VTAR_A_HOTVSNA</v>
          </cell>
          <cell r="AD90" t="str">
            <v>pt_ntar_14</v>
          </cell>
          <cell r="AE90" t="str">
            <v>pt_ter_14</v>
          </cell>
          <cell r="AF90" t="str">
            <v>pt_cs_14</v>
          </cell>
          <cell r="AH90" t="str">
            <v>Тариф на горячую воду (горячее водоснабжение)</v>
          </cell>
          <cell r="AJ90" t="str">
            <v/>
          </cell>
          <cell r="AK90" t="str">
            <v/>
          </cell>
          <cell r="AL90" t="str">
            <v/>
          </cell>
          <cell r="AM90" t="str">
            <v/>
          </cell>
          <cell r="AN90">
            <v>0</v>
          </cell>
          <cell r="AO90" t="str">
            <v>.</v>
          </cell>
          <cell r="AP90" t="str">
            <v>..</v>
          </cell>
          <cell r="AQ90" t="str">
            <v>...</v>
          </cell>
        </row>
        <row r="95">
          <cell r="AC95" t="str">
            <v>pIns_PT_VTAR_B_HOTVSNA</v>
          </cell>
          <cell r="AD95" t="str">
            <v>pt_ntar_15</v>
          </cell>
          <cell r="AE95" t="str">
            <v>pt_ter_15</v>
          </cell>
          <cell r="AF95" t="str">
            <v>pt_cs_15</v>
          </cell>
          <cell r="AH95" t="str">
            <v>Тариф на транспортировку горячей воды</v>
          </cell>
          <cell r="AJ95" t="str">
            <v/>
          </cell>
          <cell r="AK95" t="str">
            <v/>
          </cell>
          <cell r="AL95" t="str">
            <v/>
          </cell>
          <cell r="AM95" t="str">
            <v/>
          </cell>
          <cell r="AN95">
            <v>0</v>
          </cell>
          <cell r="AO95" t="str">
            <v>.</v>
          </cell>
          <cell r="AP95" t="str">
            <v>..</v>
          </cell>
          <cell r="AQ95" t="str">
            <v>...</v>
          </cell>
        </row>
        <row r="100">
          <cell r="AC100" t="str">
            <v>pIns_PT_VTAR_C_HOTVSNA</v>
          </cell>
          <cell r="AD100" t="str">
            <v>pt_ntar_16</v>
          </cell>
          <cell r="AE100" t="str">
            <v>pt_ter_16</v>
          </cell>
          <cell r="AF100" t="str">
            <v>pt_cs_16</v>
          </cell>
          <cell r="AH100" t="str">
            <v>Тариф на подключение (технологическое присоединение) к централизованной системе горячего водоснабжения</v>
          </cell>
          <cell r="AJ100" t="str">
            <v/>
          </cell>
          <cell r="AK100" t="str">
            <v/>
          </cell>
          <cell r="AL100" t="str">
            <v/>
          </cell>
          <cell r="AM100" t="str">
            <v/>
          </cell>
          <cell r="AN100">
            <v>0</v>
          </cell>
          <cell r="AO100" t="str">
            <v>.</v>
          </cell>
          <cell r="AP100" t="str">
            <v>..</v>
          </cell>
          <cell r="AQ100" t="str">
            <v>...</v>
          </cell>
        </row>
        <row r="106">
          <cell r="AC106" t="str">
            <v>pIns_PT_VTAR_A_VOTV</v>
          </cell>
          <cell r="AD106" t="str">
            <v>pt_ntar_17</v>
          </cell>
          <cell r="AE106" t="str">
            <v>pt_ter_17</v>
          </cell>
          <cell r="AF106" t="str">
            <v>pt_cs_17</v>
          </cell>
          <cell r="AH106" t="str">
            <v>Тариф на водоотведение</v>
          </cell>
          <cell r="AJ106" t="str">
            <v/>
          </cell>
          <cell r="AK106" t="str">
            <v/>
          </cell>
          <cell r="AL106" t="str">
            <v/>
          </cell>
          <cell r="AM106" t="str">
            <v/>
          </cell>
          <cell r="AN106">
            <v>0</v>
          </cell>
          <cell r="AO106" t="str">
            <v>.</v>
          </cell>
          <cell r="AP106" t="str">
            <v>..</v>
          </cell>
          <cell r="AQ106" t="str">
            <v>...</v>
          </cell>
        </row>
        <row r="111">
          <cell r="AC111" t="str">
            <v>pIns_PT_VTAR_B_VOTV</v>
          </cell>
          <cell r="AD111" t="str">
            <v>pt_ntar_18</v>
          </cell>
          <cell r="AE111" t="str">
            <v>pt_ter_18</v>
          </cell>
          <cell r="AF111" t="str">
            <v>pt_cs_18</v>
          </cell>
          <cell r="AH111" t="str">
            <v>Тариф на транспортировку сточных вод</v>
          </cell>
          <cell r="AJ111" t="str">
            <v/>
          </cell>
          <cell r="AK111" t="str">
            <v/>
          </cell>
          <cell r="AL111" t="str">
            <v/>
          </cell>
          <cell r="AM111" t="str">
            <v/>
          </cell>
          <cell r="AN111">
            <v>0</v>
          </cell>
          <cell r="AO111" t="str">
            <v>.</v>
          </cell>
          <cell r="AP111" t="str">
            <v>..</v>
          </cell>
          <cell r="AQ111" t="str">
            <v>...</v>
          </cell>
        </row>
        <row r="116">
          <cell r="AC116" t="str">
            <v>pIns_PT_VTAR_C_VOTV</v>
          </cell>
          <cell r="AD116" t="str">
            <v>pt_ntar_19</v>
          </cell>
          <cell r="AE116" t="str">
            <v>pt_ter_19</v>
          </cell>
          <cell r="AF116" t="str">
            <v>pt_cs_19</v>
          </cell>
          <cell r="AH116" t="str">
            <v>Тариф на подключение (технологическое присоединение) к централизованной системе водоотведения</v>
          </cell>
          <cell r="AJ116" t="str">
            <v/>
          </cell>
          <cell r="AK116" t="str">
            <v/>
          </cell>
          <cell r="AL116" t="str">
            <v/>
          </cell>
          <cell r="AM116" t="str">
            <v/>
          </cell>
          <cell r="AN116">
            <v>0</v>
          </cell>
          <cell r="AO116" t="str">
            <v>.</v>
          </cell>
          <cell r="AP116" t="str">
            <v>..</v>
          </cell>
          <cell r="AQ116" t="str">
            <v>...</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24">
          <cell r="I24" t="str">
            <v>diff_1</v>
          </cell>
          <cell r="J24" t="str">
            <v>diff_66</v>
          </cell>
        </row>
        <row r="66">
          <cell r="H66" t="str">
            <v>отсутствует</v>
          </cell>
          <cell r="I66" t="str">
            <v>отсутствует</v>
          </cell>
          <cell r="J66" t="str">
            <v>отсутствует</v>
          </cell>
          <cell r="K66" t="str">
            <v/>
          </cell>
        </row>
        <row r="68">
          <cell r="H68" t="str">
            <v>отсутствует</v>
          </cell>
          <cell r="I68" t="str">
            <v>отсутствует</v>
          </cell>
          <cell r="J68" t="str">
            <v>отсутствует</v>
          </cell>
          <cell r="K68" t="str">
            <v/>
          </cell>
        </row>
      </sheetData>
      <sheetData sheetId="30" refreshError="1"/>
      <sheetData sheetId="31" refreshError="1"/>
      <sheetData sheetId="32" refreshError="1"/>
      <sheetData sheetId="33" refreshError="1"/>
      <sheetData sheetId="34"/>
      <sheetData sheetId="35">
        <row r="11">
          <cell r="AD11" t="str">
            <v>ip_1</v>
          </cell>
        </row>
        <row r="13">
          <cell r="G13" t="str">
            <v>Добавить инвестиционную программу</v>
          </cell>
        </row>
      </sheetData>
      <sheetData sheetId="36" refreshError="1"/>
      <sheetData sheetId="37" refreshError="1"/>
      <sheetData sheetId="38" refreshError="1"/>
      <sheetData sheetId="39"/>
      <sheetData sheetId="40" refreshError="1"/>
      <sheetData sheetId="41" refreshError="1"/>
      <sheetData sheetId="42"/>
      <sheetData sheetId="43" refreshError="1"/>
      <sheetData sheetId="44" refreshError="1"/>
      <sheetData sheetId="45" refreshError="1"/>
      <sheetData sheetId="46" refreshError="1"/>
      <sheetData sheetId="47">
        <row r="12">
          <cell r="F12" t="str">
            <v>Акционерное общество "Уральский завод металлоконструкций", г.Екатеринбург</v>
          </cell>
        </row>
      </sheetData>
      <sheetData sheetId="48" refreshError="1"/>
      <sheetData sheetId="49" refreshError="1"/>
      <sheetData sheetId="50" refreshError="1"/>
      <sheetData sheetId="51" refreshError="1"/>
      <sheetData sheetId="52" refreshError="1"/>
      <sheetData sheetId="53" refreshError="1"/>
      <sheetData sheetId="54">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0</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смешанное налогообложение</v>
          </cell>
          <cell r="O7" t="str">
            <v>отборный пар, &gt; 13 кг/см2</v>
          </cell>
          <cell r="BB7" t="str">
            <v>мазут</v>
          </cell>
        </row>
        <row r="8">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BB19" t="str">
            <v>смола</v>
          </cell>
        </row>
        <row r="20">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HEAT</v>
          </cell>
          <cell r="F36" t="str">
            <v>теплоснабжения</v>
          </cell>
          <cell r="G36" t="str">
            <v>теплоснабжение</v>
          </cell>
        </row>
        <row r="45">
          <cell r="E45" t="str">
            <v>Q</v>
          </cell>
          <cell r="J45"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cell r="K45" t="str">
            <v>Перечень муниципальных районов и муниципальных образований (территорий действия тарифа)</v>
          </cell>
        </row>
        <row r="46">
          <cell r="F46" t="str">
            <v>O</v>
          </cell>
          <cell r="I46" t="b">
            <v>1</v>
          </cell>
          <cell r="J46" t="str">
            <v>Общая информация о регулируемой организации (теплоснабжения)</v>
          </cell>
        </row>
        <row r="47">
          <cell r="F47" t="str">
            <v>Q</v>
          </cell>
          <cell r="G47" t="str">
            <v>01.07.2023</v>
          </cell>
          <cell r="H47" t="str">
            <v>30.09.2023</v>
          </cell>
          <cell r="I47" t="b">
            <v>0</v>
          </cell>
          <cell r="J47"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row>
        <row r="48">
          <cell r="F48" t="str">
            <v>B</v>
          </cell>
          <cell r="G48" t="str">
            <v>01.01.2023</v>
          </cell>
          <cell r="H48" t="str">
            <v>31.12.2023</v>
          </cell>
          <cell r="I48" t="b">
            <v>0</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01.01.2023</v>
          </cell>
          <cell r="H49" t="str">
            <v>31.12.2023</v>
          </cell>
          <cell r="I49" t="b">
            <v>0</v>
          </cell>
          <cell r="J49" t="str">
            <v>Информация об условиях, на которых осуществляется поставка товаров (оказание услуг) в сфере теплоснабжения</v>
          </cell>
        </row>
        <row r="50">
          <cell r="F50" t="str">
            <v>I</v>
          </cell>
          <cell r="G50" t="str">
            <v>01.01.2023</v>
          </cell>
          <cell r="H50" t="str">
            <v>31.12.2023</v>
          </cell>
          <cell r="I50" t="b">
            <v>0</v>
          </cell>
          <cell r="J50" t="str">
            <v>Информация об инвестиционных программах регулируемой организации в области теплоснабжения</v>
          </cell>
        </row>
        <row r="51">
          <cell r="F51" t="str">
            <v>R</v>
          </cell>
          <cell r="G51" t="str">
            <v/>
          </cell>
          <cell r="H51" t="str">
            <v/>
          </cell>
          <cell r="I51" t="b">
            <v>1</v>
          </cell>
          <cell r="J51"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
          </cell>
          <cell r="H52" t="str">
            <v/>
          </cell>
          <cell r="I52" t="b">
            <v>1</v>
          </cell>
          <cell r="J52" t="str">
            <v>Показатели, подлежащие раскрытию в сфере теплоснабжения (цены и тарифы)</v>
          </cell>
        </row>
        <row r="53">
          <cell r="F53" t="str">
            <v>ROIV</v>
          </cell>
          <cell r="G53" t="str">
            <v>01.01.2023</v>
          </cell>
          <cell r="H53" t="str">
            <v>31.12.2023</v>
          </cell>
          <cell r="I53" t="b">
            <v>0</v>
          </cell>
          <cell r="J53" t="str">
            <v>Показатели, подлежащие раскрытию органами регулирования</v>
          </cell>
        </row>
        <row r="97">
          <cell r="AZ97" t="str">
            <v>информация об органе регулирования и перечень организаций</v>
          </cell>
        </row>
        <row r="98">
          <cell r="AZ98" t="str">
            <v>информация о делах об установлении тарифов</v>
          </cell>
        </row>
        <row r="99">
          <cell r="AZ99" t="str">
            <v>информация о привлечение к ответственности</v>
          </cell>
        </row>
        <row r="102">
          <cell r="AZ102" t="str">
            <v>тыс.руб./Гкал/ч</v>
          </cell>
        </row>
        <row r="103">
          <cell r="AZ103" t="str">
            <v>тыс.руб.</v>
          </cell>
        </row>
        <row r="104">
          <cell r="AZ104" t="str">
            <v>руб.</v>
          </cell>
        </row>
      </sheetData>
      <sheetData sheetId="55">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ell>
        </row>
        <row r="4">
          <cell r="C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теплоснабжение (общая информация)</v>
          </cell>
          <cell r="H4" t="str">
            <v>Форма 1. Информация об организации (общая информация)</v>
          </cell>
        </row>
        <row r="5">
          <cell r="C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D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E6" t="str">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ell>
        </row>
        <row r="7">
          <cell r="C7" t="str">
            <v>Форма 11. Информация о расходах на капитальный и текущий ремонт основных средств</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ell>
        </row>
        <row r="31">
          <cell r="C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теплоснабжение (общая информация)</v>
          </cell>
        </row>
        <row r="32">
          <cell r="C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теплоснабжения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56">
        <row r="2">
          <cell r="Z2" t="str">
            <v>HEAT</v>
          </cell>
          <cell r="AA2" t="str">
            <v>COLDVSNA</v>
          </cell>
          <cell r="AB2" t="str">
            <v>HOTVSNA</v>
          </cell>
          <cell r="AC2" t="str">
            <v>VOTV</v>
          </cell>
          <cell r="AD2" t="str">
            <v>TKO</v>
          </cell>
        </row>
        <row r="3">
          <cell r="N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Количество поданных заявок</v>
          </cell>
          <cell r="N11" t="str">
            <v>Указывается количество поданных заявок на подключение (технологическое присоединение) к системе теплоснабжения в течение отчетного квартала.</v>
          </cell>
        </row>
        <row r="12">
          <cell r="M12" t="str">
            <v>Количество рассмотренных заявок</v>
          </cell>
          <cell r="N12" t="str">
            <v>Указывается количество исполненных заявок на подключение (технологическое присоединение) к системе теплоснабжения в течение отчетного квартала.</v>
          </cell>
        </row>
        <row r="13">
          <cell r="M13" t="str">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ell>
          <cell r="N13" t="str">
            <v>Указывается количество заявок с решением об отказе в течение отчетного квартала.</v>
          </cell>
        </row>
        <row r="14">
          <cell r="M14" t="str">
            <v>Причины отказа в заключении договора о подключении (технологическом присоединении) к системе теплоснабжения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Резерв мощности источников тепловой энергии, входящих в систему теплоснабжения, в течение одного квартала, в том числе:</v>
          </cell>
          <cell r="N15"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6">
          <cell r="N16"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8">
          <cell r="L18">
            <v>1</v>
          </cell>
          <cell r="M18" t="str">
            <v>Выручка от регулируемого вида деятельности с распределением по видам деятельности</v>
          </cell>
          <cell r="N18" t="str">
            <v>Указывается выручка от регулируемого вида деятельности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регулируемому виду деятельности,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теплоноситель</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2.2</v>
          </cell>
          <cell r="M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N21" t="str">
            <v>Указываются суммарные расходы на приобретение топлива всех видов.</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2.3</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2.3.1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 (с учетом мощности)</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2.3.2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2.4</v>
          </cell>
          <cell r="M28" t="str">
            <v>Расходы на приобретение холодной воды, используемой в технологическом процессе</v>
          </cell>
          <cell r="N28" t="str">
            <v/>
          </cell>
          <cell r="O28" t="str">
            <v>2.4</v>
          </cell>
          <cell r="T28" t="str">
            <v>Расходы на приобретение холодной воды, используемой в технологическом процессе</v>
          </cell>
        </row>
        <row r="29">
          <cell r="L29" t="str">
            <v>2.5</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химические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регулируемого вида деятельности</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
          </cell>
          <cell r="M48" t="str">
            <v/>
          </cell>
          <cell r="N48" t="str">
            <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
          </cell>
          <cell r="M49" t="str">
            <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2.13</v>
          </cell>
          <cell r="M50" t="str">
            <v>Прочие расходы, которые подлежат отнесению на регулируемые виды деятельности в соответствии с законодательством Российской Федерации</v>
          </cell>
          <cell r="N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3</v>
          </cell>
          <cell r="M51" t="str">
            <v>Валовая прибыль (убытки) от реализации товаров и оказания услуг по регулируемому виду деятельности</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4</v>
          </cell>
          <cell r="M52" t="str">
            <v>Чистая прибыль, полученная от регулируемого вида деятельности,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4.1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5</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5.1</v>
          </cell>
          <cell r="M55" t="str">
            <v>Изменение стоимости основных фондов за счет:</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Изменение стоимости основных фондов за счет:</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5.1.1</v>
          </cell>
          <cell r="M56" t="str">
            <v>Изменения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Изменения стоимости основных фондов 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5.1.2</v>
          </cell>
          <cell r="M57" t="str">
            <v>Изменения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Изменения стоимости основных фондов 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5.2</v>
          </cell>
          <cell r="M58" t="str">
            <v>Изменение стоимости основных фондов за счет их переоценки</v>
          </cell>
          <cell r="N58" t="str">
            <v/>
          </cell>
          <cell r="O58" t="str">
            <v>5.2</v>
          </cell>
          <cell r="P58" t="str">
            <v>4.2</v>
          </cell>
          <cell r="Q58" t="str">
            <v>4.2</v>
          </cell>
          <cell r="R58" t="str">
            <v>4.2</v>
          </cell>
          <cell r="T58" t="str">
            <v>Изменение стоимости основных фондов 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
          </cell>
          <cell r="M59" t="str">
            <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7</v>
          </cell>
          <cell r="M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N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8</v>
          </cell>
          <cell r="M79" t="str">
            <v>Тепловая нагрузка по договорам, заключенным в рамках осуществления регулируемых видов деятельности</v>
          </cell>
          <cell r="N79" t="str">
            <v>Регулируемыми организациями указывается информация по договорам, заключенным в рамках осуществления регулируемых видов деятельности</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9</v>
          </cell>
          <cell r="M80" t="str">
            <v>Объем вырабатываемой регулируемой организацией тепловой энергии в рамках осуществления регулируемых видов деятельности</v>
          </cell>
          <cell r="N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9.1</v>
          </cell>
          <cell r="M81" t="str">
            <v>Объем приобретаемой регулируемой организацией тепловой энергии в рамках осуществления регулируемых видов деятельности</v>
          </cell>
          <cell r="N81" t="str">
            <v>Информация указывается только едиными теплоснабжающими организациями.</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10</v>
          </cell>
          <cell r="M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N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10.1</v>
          </cell>
          <cell r="M83" t="str">
            <v xml:space="preserve">По приборам учёта </v>
          </cell>
          <cell r="N83" t="str">
            <v/>
          </cell>
          <cell r="O83" t="str">
            <v>10.1</v>
          </cell>
          <cell r="T83" t="str">
            <v xml:space="preserve">По приборам учёта </v>
          </cell>
        </row>
        <row r="84">
          <cell r="L84" t="str">
            <v>10.1.1</v>
          </cell>
          <cell r="M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10.2</v>
          </cell>
          <cell r="M85" t="str">
            <v>Расчётным путём</v>
          </cell>
          <cell r="N85" t="str">
            <v/>
          </cell>
          <cell r="O85" t="str">
            <v>10.2</v>
          </cell>
          <cell r="T85" t="str">
            <v>Расчётным путём</v>
          </cell>
        </row>
        <row r="86">
          <cell r="L86" t="str">
            <v>10.3</v>
          </cell>
          <cell r="M86" t="str">
            <v>По нормативам потребления коммунальных услуг и нормативам потребления коммунальных ресурсов</v>
          </cell>
          <cell r="N86" t="str">
            <v/>
          </cell>
          <cell r="O86" t="str">
            <v>10.3</v>
          </cell>
          <cell r="T86" t="str">
            <v>По нормативам потребления коммунальных услуг и нормативам потребления коммунальных ресурсов</v>
          </cell>
        </row>
        <row r="87">
          <cell r="L87" t="str">
            <v>11</v>
          </cell>
          <cell r="M87" t="str">
            <v>Нормативы технологических потерь при передаче тепловой энергии, теплоносителя по тепловым сетям, утвержденные уполномоченным органом</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12</v>
          </cell>
          <cell r="M88" t="str">
            <v>Фактический объем потерь при передаче тепловой энергии</v>
          </cell>
          <cell r="N88" t="str">
            <v/>
          </cell>
          <cell r="O88" t="str">
            <v>12</v>
          </cell>
          <cell r="T88" t="str">
            <v>Фактический объем потерь при передаче тепловой энергии</v>
          </cell>
        </row>
        <row r="89">
          <cell r="L89" t="str">
            <v>13</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14</v>
          </cell>
          <cell r="M90" t="str">
            <v>Среднесписочная численность административно-управленческого персонала</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15</v>
          </cell>
          <cell r="M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16</v>
          </cell>
          <cell r="M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17</v>
          </cell>
          <cell r="M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7" t="str">
            <v>Регулируемыми организациями указывается информация с по договорам, заключенным в рамках осуществления регулируемой деятельности.</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18</v>
          </cell>
          <cell r="M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8" t="str">
            <v>Регулируемыми организациями указывается информация с по договорам, заключенным в рамках осуществления регулируемой деятельности.</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19</v>
          </cell>
          <cell r="M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N99" t="str">
            <v>Указывается ссылка на документ, предварительно загруженный в хранилище файлов ФГИС ЕИАС.</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19.1</v>
          </cell>
          <cell r="M100" t="str">
            <v>Информация о показателях физического износа объектов теплоснабжения</v>
          </cell>
          <cell r="N100" t="str">
            <v>Указывается ссылка на документ, предварительно загруженный в хранилище файлов ФГИС ЕИАС.</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19.2</v>
          </cell>
          <cell r="M101" t="str">
            <v>Информация о показателях энергетической эффективности объектов теплоснабжения</v>
          </cell>
          <cell r="N101" t="str">
            <v>Указывается ссылка на документ, предварительно загруженный в хранилище файлов ФГИС ЕИАС.</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ow r="2">
          <cell r="B2" t="str">
            <v>Территория 1</v>
          </cell>
        </row>
      </sheetData>
      <sheetData sheetId="77" refreshError="1"/>
      <sheetData sheetId="78">
        <row r="2">
          <cell r="A2" t="str">
            <v>4190064</v>
          </cell>
          <cell r="B2" t="str">
            <v>Производство тепловой энергии. Некомбинированная выработка</v>
          </cell>
        </row>
        <row r="3">
          <cell r="A3" t="str">
            <v>4190065</v>
          </cell>
          <cell r="B3" t="str">
            <v>Производство тепловой энергии. Комбинированная выработка с уст. мощностью производства электрической энергии менее 25 МВт</v>
          </cell>
        </row>
        <row r="4">
          <cell r="A4" t="str">
            <v>4190066</v>
          </cell>
          <cell r="B4" t="str">
            <v>Производство тепловой энергии. Комбинированная выработка с уст. мощностью производства электрической энергии 25 МВт и более</v>
          </cell>
        </row>
        <row r="5">
          <cell r="A5" t="str">
            <v>4190067</v>
          </cell>
          <cell r="B5" t="str">
            <v>Производство. Теплоноситель</v>
          </cell>
        </row>
        <row r="6">
          <cell r="A6" t="str">
            <v>4190068</v>
          </cell>
          <cell r="B6" t="str">
            <v>Передача. Тепловая энергия</v>
          </cell>
        </row>
        <row r="7">
          <cell r="A7" t="str">
            <v>4190069</v>
          </cell>
          <cell r="B7" t="str">
            <v>Передача. Теплоноситель</v>
          </cell>
        </row>
        <row r="8">
          <cell r="A8" t="str">
            <v>4190070</v>
          </cell>
          <cell r="B8" t="str">
            <v>Сбыт. Тепловая энергия</v>
          </cell>
        </row>
        <row r="9">
          <cell r="A9" t="str">
            <v>4190071</v>
          </cell>
          <cell r="B9" t="str">
            <v>Сбыт. Теплоноситель</v>
          </cell>
        </row>
        <row r="10">
          <cell r="A10" t="str">
            <v>4190072</v>
          </cell>
          <cell r="B10" t="str">
            <v>Подключение (технологическое присоединение) к системе теплоснабжения</v>
          </cell>
        </row>
        <row r="11">
          <cell r="A11" t="str">
            <v>4190073</v>
          </cell>
          <cell r="B11" t="str">
            <v>Поддержание резервной тепловой мощности при отсутствии потребления тепловой энергии</v>
          </cell>
        </row>
      </sheetData>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6.xml.rels><?xml version="1.0" encoding="UTF-8" standalone="yes"?>
<Relationships xmlns="http://schemas.openxmlformats.org/package/2006/relationships"><Relationship Id="rId3" Type="http://schemas.openxmlformats.org/officeDocument/2006/relationships/hyperlink" Target="../../../../../&#1045;&#1048;&#1040;&#1057;%20&#1052;&#1086;&#1085;&#1080;&#1090;&#1086;&#1088;&#1080;&#1085;&#1075;/&#1055;&#1069;&#1054;/&#1064;&#1072;&#1073;&#1083;&#1086;&#1085;&#1099;/2023/30.10.2023/0" TargetMode="External"/><Relationship Id="rId2" Type="http://schemas.openxmlformats.org/officeDocument/2006/relationships/hyperlink" Target="../../../../../&#1045;&#1048;&#1040;&#1057;%20&#1052;&#1086;&#1085;&#1080;&#1090;&#1086;&#1088;&#1080;&#1085;&#1075;/&#1055;&#1069;&#1054;/&#1064;&#1072;&#1073;&#1083;&#1086;&#1085;&#1099;/2023/30.10.2023/0" TargetMode="External"/><Relationship Id="rId1" Type="http://schemas.openxmlformats.org/officeDocument/2006/relationships/hyperlink" Target="../../../../../&#1045;&#1048;&#1040;&#1057;%20&#1052;&#1086;&#1085;&#1080;&#1090;&#1086;&#1088;&#1080;&#1085;&#1075;/&#1055;&#1069;&#1054;/&#1064;&#1072;&#1073;&#1083;&#1086;&#1085;&#1099;/2023/30.10.2023/0" TargetMode="External"/><Relationship Id="rId6" Type="http://schemas.openxmlformats.org/officeDocument/2006/relationships/hyperlink" Target="../../../../../&#1045;&#1048;&#1040;&#1057;%20&#1052;&#1086;&#1085;&#1080;&#1090;&#1086;&#1088;&#1080;&#1085;&#1075;/&#1055;&#1069;&#1054;/&#1064;&#1072;&#1073;&#1083;&#1086;&#1085;&#1099;/2023/30.10.2023/0" TargetMode="External"/><Relationship Id="rId5" Type="http://schemas.openxmlformats.org/officeDocument/2006/relationships/hyperlink" Target="../../../../../&#1045;&#1048;&#1040;&#1057;%20&#1052;&#1086;&#1085;&#1080;&#1090;&#1086;&#1088;&#1080;&#1085;&#1075;/&#1055;&#1069;&#1054;/&#1064;&#1072;&#1073;&#1083;&#1086;&#1085;&#1099;/2023/30.10.2023/0" TargetMode="External"/><Relationship Id="rId4" Type="http://schemas.openxmlformats.org/officeDocument/2006/relationships/hyperlink" Target="../../../../../&#1045;&#1048;&#1040;&#1057;%20&#1052;&#1086;&#1085;&#1080;&#1090;&#1086;&#1088;&#1080;&#1085;&#1075;/&#1055;&#1069;&#1054;/&#1064;&#1072;&#1073;&#1083;&#1086;&#1085;&#1099;/2023/30.10.2023/0" TargetMode="External"/></Relationships>
</file>

<file path=xl/worksheets/_rels/sheet5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tabColor theme="9"/>
    <pageSetUpPr fitToPage="1"/>
  </sheetPr>
  <dimension ref="A1:AB28"/>
  <sheetViews>
    <sheetView showGridLines="0" tabSelected="1" topLeftCell="C2" zoomScale="90" workbookViewId="0">
      <selection activeCell="E4" sqref="E4:I4"/>
    </sheetView>
  </sheetViews>
  <sheetFormatPr defaultColWidth="9.140625" defaultRowHeight="14.25" customHeight="1"/>
  <cols>
    <col min="1" max="1" width="8" style="1625" hidden="1" customWidth="1"/>
    <col min="2" max="2" width="6" style="1626" hidden="1" customWidth="1"/>
    <col min="3" max="3" width="3.7109375" style="1625" customWidth="1"/>
    <col min="4" max="4" width="3.7109375" style="1635" customWidth="1"/>
    <col min="5" max="5" width="6.28515625" style="1636" customWidth="1"/>
    <col min="6" max="6" width="2.7109375" style="1625" hidden="1" customWidth="1"/>
    <col min="7" max="7" width="46.7109375" style="1636" customWidth="1"/>
    <col min="8" max="8" width="43.140625" style="1636" customWidth="1"/>
    <col min="9" max="9" width="14.85546875" style="1636" customWidth="1"/>
    <col min="10" max="10" width="3.7109375" style="1628" customWidth="1"/>
    <col min="11" max="13" width="9.140625" style="1628" hidden="1"/>
    <col min="14" max="14" width="25.7109375" style="1629" hidden="1" customWidth="1"/>
    <col min="15" max="15" width="14.42578125" style="1628" hidden="1" customWidth="1"/>
    <col min="16" max="19" width="9.140625" style="1630" hidden="1"/>
    <col min="20" max="27" width="9.140625" style="1636" hidden="1"/>
    <col min="28" max="28" width="9.140625" style="1636"/>
  </cols>
  <sheetData>
    <row r="1" spans="1:28" s="1620" customFormat="1" ht="5.25" hidden="1" customHeight="1">
      <c r="A1" s="364"/>
      <c r="B1" s="379"/>
      <c r="C1" s="379"/>
      <c r="D1" s="117"/>
      <c r="F1" s="379"/>
      <c r="G1" s="127" t="s">
        <v>17</v>
      </c>
      <c r="H1" s="362" t="s">
        <v>18</v>
      </c>
      <c r="I1" s="123" t="s">
        <v>19</v>
      </c>
      <c r="J1" s="127" t="s">
        <v>17</v>
      </c>
      <c r="K1" s="127"/>
      <c r="L1" s="127"/>
      <c r="M1" s="127"/>
      <c r="N1" s="128"/>
      <c r="O1" s="127"/>
      <c r="P1" s="127"/>
      <c r="Q1" s="127"/>
      <c r="R1" s="127"/>
      <c r="S1" s="127"/>
      <c r="T1" s="123"/>
      <c r="U1" s="123"/>
      <c r="V1" s="123"/>
      <c r="W1" s="123"/>
      <c r="X1" s="123"/>
      <c r="Y1" s="123"/>
      <c r="Z1" s="123"/>
      <c r="AA1" s="123"/>
      <c r="AB1" s="123"/>
    </row>
    <row r="2" spans="1:28" s="1623" customFormat="1" ht="11.25" customHeight="1">
      <c r="A2" s="634"/>
      <c r="B2" s="124"/>
      <c r="C2" s="124"/>
      <c r="D2" s="125"/>
      <c r="E2" s="124"/>
      <c r="F2" s="124"/>
      <c r="G2" s="124"/>
      <c r="H2" s="124"/>
      <c r="I2" s="124"/>
      <c r="J2" s="127"/>
      <c r="K2" s="127"/>
      <c r="L2" s="127"/>
      <c r="M2" s="127"/>
      <c r="N2" s="128"/>
      <c r="O2" s="127"/>
      <c r="P2" s="126"/>
      <c r="Q2" s="126"/>
      <c r="R2" s="126"/>
      <c r="S2" s="126"/>
      <c r="T2" s="125"/>
      <c r="U2" s="125"/>
      <c r="V2" s="125"/>
      <c r="W2" s="125"/>
      <c r="X2" s="125"/>
      <c r="Y2" s="125"/>
      <c r="Z2" s="125"/>
      <c r="AA2" s="125"/>
      <c r="AB2" s="125"/>
    </row>
    <row r="3" spans="1:28" s="1624" customFormat="1" ht="3" customHeight="1">
      <c r="A3" s="582"/>
      <c r="B3" s="297"/>
      <c r="C3" s="582"/>
      <c r="D3" s="65"/>
      <c r="E3" s="21"/>
      <c r="F3" s="377"/>
      <c r="G3" s="21"/>
      <c r="H3" s="21"/>
      <c r="I3" s="67"/>
      <c r="J3" s="127"/>
      <c r="K3" s="57"/>
      <c r="L3" s="57"/>
      <c r="M3" s="57"/>
      <c r="N3" s="122"/>
      <c r="O3" s="57"/>
      <c r="P3" s="121"/>
      <c r="Q3" s="121"/>
      <c r="R3" s="121"/>
      <c r="S3" s="121"/>
    </row>
    <row r="4" spans="1:28" s="1624" customFormat="1" ht="25.5" customHeight="1">
      <c r="A4" s="582"/>
      <c r="B4" s="297"/>
      <c r="C4" s="582"/>
      <c r="D4" s="65"/>
      <c r="E4" s="1955" t="str">
        <f>NameTemplatesInListMO</f>
        <v>Перечень муниципальных районов и муниципальных образований (территорий действия тарифа)</v>
      </c>
      <c r="F4" s="1955"/>
      <c r="G4" s="1955"/>
      <c r="H4" s="1955"/>
      <c r="I4" s="1955"/>
      <c r="J4" s="127"/>
      <c r="K4" s="57"/>
      <c r="L4" s="57"/>
      <c r="M4" s="57"/>
      <c r="N4" s="122"/>
      <c r="O4" s="57"/>
      <c r="P4" s="121"/>
      <c r="Q4" s="121"/>
      <c r="R4" s="121"/>
      <c r="S4" s="121"/>
    </row>
    <row r="5" spans="1:28" s="1624" customFormat="1" ht="3" customHeight="1">
      <c r="A5" s="582"/>
      <c r="B5" s="297"/>
      <c r="C5" s="582"/>
      <c r="D5" s="65"/>
      <c r="E5" s="21"/>
      <c r="F5" s="377"/>
      <c r="G5" s="68"/>
      <c r="H5" s="68"/>
      <c r="I5" s="69"/>
      <c r="J5" s="57"/>
      <c r="K5" s="57"/>
      <c r="L5" s="57"/>
      <c r="M5" s="57"/>
      <c r="N5" s="122"/>
      <c r="O5" s="57"/>
      <c r="P5" s="121"/>
      <c r="Q5" s="121"/>
      <c r="R5" s="121"/>
      <c r="S5" s="121"/>
    </row>
    <row r="6" spans="1:28" s="1624" customFormat="1" ht="20.25" hidden="1" customHeight="1">
      <c r="A6" s="640"/>
      <c r="B6" s="636"/>
      <c r="C6" s="70"/>
      <c r="D6" s="65"/>
      <c r="E6" s="594"/>
      <c r="F6" s="594"/>
      <c r="G6" s="68"/>
      <c r="H6" s="71"/>
      <c r="I6" s="71"/>
      <c r="J6" s="57"/>
      <c r="K6" s="57"/>
      <c r="L6" s="57"/>
      <c r="M6" s="57"/>
      <c r="N6" s="122"/>
      <c r="O6" s="57"/>
      <c r="P6" s="121"/>
      <c r="Q6" s="121"/>
      <c r="R6" s="121"/>
      <c r="S6" s="121"/>
    </row>
    <row r="7" spans="1:28" ht="25.5" hidden="1" customHeight="1"/>
    <row r="8" spans="1:28" s="1624" customFormat="1" ht="14.25" customHeight="1">
      <c r="A8" s="582"/>
      <c r="B8" s="297"/>
      <c r="C8" s="582"/>
      <c r="D8" s="65"/>
      <c r="E8" s="1956" t="s">
        <v>20</v>
      </c>
      <c r="F8" s="1957"/>
      <c r="G8" s="1958"/>
      <c r="H8" s="1959" t="s">
        <v>21</v>
      </c>
      <c r="I8" s="1959"/>
      <c r="J8" s="57"/>
      <c r="K8" s="57"/>
      <c r="L8" s="57"/>
      <c r="M8" s="57"/>
      <c r="N8" s="122"/>
      <c r="O8" s="57"/>
      <c r="P8" s="121"/>
      <c r="Q8" s="121"/>
      <c r="R8" s="121"/>
      <c r="S8" s="121"/>
    </row>
    <row r="9" spans="1:28" s="1624" customFormat="1" ht="20.25" customHeight="1">
      <c r="A9" s="582"/>
      <c r="B9" s="297"/>
      <c r="C9" s="582"/>
      <c r="D9" s="65"/>
      <c r="E9" s="592" t="s">
        <v>22</v>
      </c>
      <c r="F9" s="592"/>
      <c r="G9" s="73" t="s">
        <v>23</v>
      </c>
      <c r="H9" s="73" t="s">
        <v>23</v>
      </c>
      <c r="I9" s="73" t="s">
        <v>19</v>
      </c>
      <c r="J9" s="57"/>
      <c r="K9" s="57"/>
      <c r="L9" s="57"/>
      <c r="M9" s="57"/>
      <c r="N9" s="122"/>
      <c r="O9" s="57"/>
      <c r="P9" s="121"/>
      <c r="Q9" s="121"/>
      <c r="R9" s="121"/>
      <c r="S9" s="121"/>
    </row>
    <row r="10" spans="1:28" ht="11.25" customHeight="1">
      <c r="D10" s="76"/>
      <c r="E10" s="593" t="s">
        <v>24</v>
      </c>
      <c r="F10" s="593"/>
      <c r="G10" s="119" t="s">
        <v>25</v>
      </c>
      <c r="H10" s="119" t="s">
        <v>26</v>
      </c>
      <c r="I10" s="119" t="s">
        <v>27</v>
      </c>
      <c r="J10" s="86"/>
      <c r="K10" s="86"/>
      <c r="L10" s="86"/>
      <c r="M10" s="86"/>
      <c r="N10" s="72"/>
      <c r="O10" s="86"/>
      <c r="P10" s="120"/>
      <c r="Q10" s="120"/>
      <c r="R10" s="120"/>
      <c r="S10" s="120"/>
    </row>
    <row r="11" spans="1:28" s="1624" customFormat="1" ht="0.75" customHeight="1">
      <c r="A11" s="582"/>
      <c r="B11" s="297"/>
      <c r="C11" s="582"/>
      <c r="D11" s="65"/>
      <c r="E11" s="599"/>
      <c r="F11" s="599"/>
      <c r="G11" s="74"/>
      <c r="H11" s="74"/>
      <c r="I11" s="75"/>
      <c r="J11" s="129" t="s">
        <v>28</v>
      </c>
      <c r="K11" s="57"/>
      <c r="L11" s="57"/>
      <c r="M11" s="57" t="s">
        <v>29</v>
      </c>
      <c r="N11" s="122" t="s">
        <v>30</v>
      </c>
      <c r="O11" s="57" t="s">
        <v>31</v>
      </c>
      <c r="P11" s="121"/>
      <c r="Q11" s="121"/>
      <c r="R11" s="121"/>
      <c r="S11" s="121"/>
    </row>
    <row r="12" spans="1:28" s="1631" customFormat="1" ht="14.25" customHeight="1">
      <c r="A12" s="1954">
        <v>1</v>
      </c>
      <c r="B12" s="297"/>
      <c r="C12" s="582"/>
      <c r="D12" s="597"/>
      <c r="E12" s="115">
        <f>A12</f>
        <v>1</v>
      </c>
      <c r="F12" s="611" t="s">
        <v>32</v>
      </c>
      <c r="G12" s="398" t="str">
        <f>"Территория "&amp;E12</f>
        <v>Территория 1</v>
      </c>
      <c r="H12" s="601"/>
      <c r="I12" s="601"/>
      <c r="J12" s="598"/>
      <c r="K12" s="368"/>
      <c r="L12" s="368"/>
      <c r="M12" s="368"/>
      <c r="N12" s="122"/>
      <c r="O12" s="368"/>
      <c r="P12" s="121"/>
      <c r="Q12" s="121"/>
      <c r="R12" s="121"/>
      <c r="S12" s="121"/>
    </row>
    <row r="13" spans="1:28" s="1633" customFormat="1" ht="15" customHeight="1">
      <c r="A13" s="1954"/>
      <c r="B13" s="297">
        <v>1</v>
      </c>
      <c r="C13" s="297"/>
      <c r="D13" s="609"/>
      <c r="E13" s="595" t="str">
        <f>A12&amp;"."&amp;B13</f>
        <v>1.1</v>
      </c>
      <c r="F13" s="604" t="s">
        <v>33</v>
      </c>
      <c r="G13" s="602" t="s">
        <v>34</v>
      </c>
      <c r="H13" s="602" t="s">
        <v>34</v>
      </c>
      <c r="I13" s="600" t="s">
        <v>35</v>
      </c>
      <c r="J13" s="368" t="e">
        <f ca="1">MERGEVALUE(G13)</f>
        <v>#NAME?</v>
      </c>
      <c r="K13" s="379"/>
      <c r="L13" s="379"/>
      <c r="M13" s="368" t="str">
        <f t="array" ref="M13">IF(ISERROR(MATCH(MID(N13,1,250),MID(note_ter,1,250),0)),"n","y")</f>
        <v>n</v>
      </c>
      <c r="N13" s="379"/>
      <c r="O13" s="368" t="str">
        <f>H13&amp;"("&amp;I13&amp;")"</f>
        <v>муниципальное образование город Екатеринбург(65701000)</v>
      </c>
      <c r="P13" s="297"/>
      <c r="Q13" s="297"/>
      <c r="R13" s="299"/>
      <c r="S13" s="297"/>
      <c r="T13" s="297"/>
      <c r="U13" s="297"/>
      <c r="V13" s="301"/>
      <c r="W13" s="301"/>
      <c r="X13" s="298"/>
      <c r="Y13" s="298"/>
      <c r="Z13" s="298"/>
      <c r="AA13" s="298"/>
      <c r="AB13" s="298"/>
    </row>
    <row r="14" spans="1:28" s="1633" customFormat="1" ht="15" customHeight="1">
      <c r="A14" s="1954"/>
      <c r="B14" s="297"/>
      <c r="C14" s="293"/>
      <c r="D14" s="610"/>
      <c r="E14" s="300"/>
      <c r="F14" s="77"/>
      <c r="G14" s="295" t="s">
        <v>36</v>
      </c>
      <c r="H14" s="87"/>
      <c r="I14" s="303"/>
      <c r="J14" s="379"/>
      <c r="K14" s="379"/>
      <c r="L14" s="379"/>
      <c r="M14" s="379"/>
      <c r="N14" s="368"/>
      <c r="O14" s="379"/>
      <c r="P14" s="297"/>
      <c r="Q14" s="297"/>
      <c r="R14" s="299"/>
      <c r="S14" s="297"/>
      <c r="T14" s="297"/>
      <c r="U14" s="297"/>
      <c r="V14" s="301"/>
      <c r="W14" s="301"/>
      <c r="X14" s="298"/>
      <c r="Y14" s="298"/>
      <c r="Z14" s="298"/>
      <c r="AA14" s="298"/>
      <c r="AB14" s="298"/>
    </row>
    <row r="15" spans="1:28" s="1624" customFormat="1" ht="14.25" customHeight="1">
      <c r="A15" s="582"/>
      <c r="B15" s="297"/>
      <c r="C15" s="582"/>
      <c r="D15" s="597"/>
      <c r="E15" s="603"/>
      <c r="F15" s="78"/>
      <c r="G15" s="296" t="s">
        <v>37</v>
      </c>
      <c r="H15" s="78"/>
      <c r="I15" s="79"/>
      <c r="J15" s="129"/>
      <c r="K15" s="57"/>
      <c r="L15" s="57"/>
      <c r="M15" s="57"/>
      <c r="N15" s="122" t="s">
        <v>38</v>
      </c>
      <c r="O15" s="57"/>
      <c r="P15" s="121"/>
      <c r="Q15" s="121"/>
      <c r="R15" s="121"/>
      <c r="S15" s="121"/>
    </row>
    <row r="16" spans="1:28" s="1624" customFormat="1" ht="21" customHeight="1">
      <c r="A16" s="582"/>
      <c r="B16" s="297"/>
      <c r="C16" s="582"/>
      <c r="D16" s="66"/>
      <c r="E16" s="80"/>
      <c r="F16" s="80"/>
      <c r="G16" s="80"/>
      <c r="H16" s="80"/>
      <c r="I16" s="80"/>
      <c r="J16" s="57"/>
      <c r="K16" s="57"/>
      <c r="L16" s="57"/>
      <c r="M16" s="57"/>
      <c r="N16" s="122"/>
      <c r="O16" s="57"/>
      <c r="P16" s="121"/>
      <c r="Q16" s="121"/>
      <c r="R16" s="121"/>
      <c r="S16" s="121"/>
    </row>
    <row r="17" spans="1:19" s="1624" customFormat="1" ht="14.25" customHeight="1">
      <c r="A17" s="582"/>
      <c r="B17" s="297"/>
      <c r="C17" s="582"/>
      <c r="D17" s="66"/>
      <c r="E17" s="7"/>
      <c r="F17" s="582"/>
      <c r="G17" s="7"/>
      <c r="H17" s="7"/>
      <c r="I17" s="7"/>
      <c r="J17" s="57"/>
      <c r="K17" s="57"/>
      <c r="L17" s="57"/>
      <c r="M17" s="57"/>
      <c r="N17" s="122"/>
      <c r="O17" s="57"/>
      <c r="P17" s="121"/>
      <c r="Q17" s="121"/>
      <c r="R17" s="121"/>
      <c r="S17" s="121"/>
    </row>
    <row r="18" spans="1:19" s="1624" customFormat="1" ht="0.75" customHeight="1">
      <c r="A18" s="582"/>
      <c r="B18" s="297"/>
      <c r="C18" s="582"/>
      <c r="D18" s="66"/>
      <c r="E18" s="7"/>
      <c r="F18" s="582"/>
      <c r="G18" s="7"/>
      <c r="H18" s="7"/>
      <c r="I18" s="7"/>
      <c r="J18" s="57"/>
      <c r="K18" s="57"/>
      <c r="L18" s="57"/>
      <c r="M18" s="57"/>
      <c r="N18" s="122"/>
      <c r="O18" s="57"/>
      <c r="P18" s="121"/>
      <c r="Q18" s="121"/>
      <c r="R18" s="121"/>
      <c r="S18" s="121"/>
    </row>
    <row r="19" spans="1:19" s="1637" customFormat="1" ht="10.5" customHeight="1">
      <c r="B19" s="637"/>
      <c r="D19" s="82"/>
      <c r="J19" s="57"/>
      <c r="K19" s="57"/>
      <c r="L19" s="57"/>
      <c r="M19" s="57"/>
      <c r="N19" s="122"/>
      <c r="O19" s="57"/>
      <c r="P19" s="121"/>
      <c r="Q19" s="121"/>
      <c r="R19" s="121"/>
      <c r="S19" s="121"/>
    </row>
    <row r="20" spans="1:19" s="1637" customFormat="1" ht="10.5" customHeight="1">
      <c r="B20" s="637"/>
      <c r="D20" s="82"/>
      <c r="J20" s="57"/>
      <c r="K20" s="57"/>
      <c r="L20" s="57"/>
      <c r="M20" s="57"/>
      <c r="N20" s="122"/>
      <c r="O20" s="57"/>
      <c r="P20" s="121"/>
      <c r="Q20" s="121"/>
      <c r="R20" s="121"/>
      <c r="S20" s="121"/>
    </row>
    <row r="24" spans="1:19" ht="14.25" customHeight="1">
      <c r="H24" s="1"/>
    </row>
    <row r="28" spans="1:19" ht="14.25" customHeight="1">
      <c r="J28" s="7"/>
      <c r="K28" s="7"/>
      <c r="L28" s="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8740157480314965"/>
  <pageSetup paperSize="9" fitToHeight="0" orientation="landscape" blackAndWhite="1" r:id="rId1"/>
  <headerFooter>
    <oddHeader>&amp;L&amp;C&amp;R</oddHeader>
    <oddFooter>&amp;L&amp;C&amp;R</oddFooter>
    <evenHeader>&amp;L&amp;C&amp;R</evenHeader>
    <evenFooter>&amp;L&amp;C&amp;R</evenFooter>
  </headerFooter>
  <drawing r:id="rId2"/>
</worksheet>
</file>

<file path=xl/worksheets/sheet2.xml><?xml version="1.0" encoding="utf-8"?>
<worksheet xmlns="http://schemas.openxmlformats.org/spreadsheetml/2006/main" xmlns:r="http://schemas.openxmlformats.org/officeDocument/2006/relationships">
  <sheetPr>
    <tabColor theme="9"/>
    <pageSetUpPr fitToPage="1"/>
  </sheetPr>
  <dimension ref="A1:AL19"/>
  <sheetViews>
    <sheetView showGridLines="0" topLeftCell="C3" zoomScale="90" workbookViewId="0">
      <selection activeCell="L47" sqref="L47"/>
    </sheetView>
  </sheetViews>
  <sheetFormatPr defaultColWidth="9.140625" defaultRowHeight="11.25" customHeight="1"/>
  <cols>
    <col min="1" max="1" width="6.42578125" style="1868" hidden="1" customWidth="1"/>
    <col min="2" max="2" width="2" style="1868" hidden="1" customWidth="1"/>
    <col min="3" max="3" width="3.7109375" style="1868" customWidth="1"/>
    <col min="4" max="4" width="4.28515625" style="1868" customWidth="1"/>
    <col min="5" max="5" width="45" style="1868" customWidth="1"/>
    <col min="6" max="6" width="6.42578125" style="1868" customWidth="1"/>
    <col min="7" max="7" width="4.42578125" style="1868" customWidth="1"/>
    <col min="8" max="8" width="5.5703125" style="1868" customWidth="1"/>
    <col min="9" max="9" width="52.85546875" style="1868" customWidth="1"/>
    <col min="10" max="10" width="7" style="1868" customWidth="1"/>
    <col min="11" max="11" width="3.7109375" style="1868" customWidth="1"/>
    <col min="12" max="12" width="6.28515625" style="1868" customWidth="1"/>
    <col min="13" max="13" width="56.28515625" style="1868" customWidth="1"/>
    <col min="14" max="14" width="9.140625" style="1869"/>
    <col min="15" max="20" width="9.140625" style="1870"/>
    <col min="21" max="24" width="9.140625" style="1871"/>
    <col min="25" max="38" width="9.140625" style="1869"/>
    <col min="39" max="16384" width="9.140625" style="1872"/>
  </cols>
  <sheetData>
    <row r="1" spans="1:38" ht="11.25" hidden="1" customHeight="1"/>
    <row r="2" spans="1:38" ht="11.25" hidden="1" customHeight="1"/>
    <row r="4" spans="1:38" ht="34.5" customHeight="1">
      <c r="A4" s="1871"/>
      <c r="B4" s="1871"/>
      <c r="D4" s="1960" t="str">
        <f>[3]Титульный!E5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1"/>
      <c r="F4" s="1961"/>
      <c r="G4" s="1961"/>
      <c r="H4" s="1961"/>
      <c r="I4" s="1962"/>
      <c r="J4" s="1869"/>
      <c r="K4" s="1869"/>
      <c r="L4" s="1869"/>
      <c r="M4" s="1869"/>
    </row>
    <row r="5" spans="1:38" s="1876" customFormat="1" ht="15" customHeight="1">
      <c r="A5" s="1871"/>
      <c r="B5" s="1871"/>
      <c r="C5" s="1871"/>
      <c r="D5" s="1963" t="str">
        <f>IF(org=0,"Не определено",org)</f>
        <v>Акционерное общество "Уральский завод металлоконструкций", г.Екатеринбург</v>
      </c>
      <c r="E5" s="1964"/>
      <c r="F5" s="1964"/>
      <c r="G5" s="1964"/>
      <c r="H5" s="1964"/>
      <c r="I5" s="1965"/>
      <c r="J5" s="1873"/>
      <c r="K5" s="1873"/>
      <c r="L5" s="1873"/>
      <c r="M5" s="1873"/>
      <c r="N5" s="1873"/>
      <c r="O5" s="1874"/>
      <c r="P5" s="1874"/>
      <c r="Q5" s="1874"/>
      <c r="R5" s="1874"/>
      <c r="S5" s="1874"/>
      <c r="T5" s="1874"/>
      <c r="U5" s="1875"/>
      <c r="V5" s="1875"/>
      <c r="W5" s="1875"/>
      <c r="X5" s="1875"/>
      <c r="Y5" s="1873"/>
      <c r="Z5" s="1873"/>
      <c r="AA5" s="1873"/>
      <c r="AB5" s="1873"/>
      <c r="AC5" s="1873"/>
      <c r="AD5" s="1873"/>
      <c r="AE5" s="1873"/>
      <c r="AF5" s="1873"/>
      <c r="AG5" s="1873"/>
      <c r="AH5" s="1873"/>
      <c r="AI5" s="1873"/>
      <c r="AJ5" s="1873"/>
      <c r="AK5" s="1873"/>
      <c r="AL5" s="1873"/>
    </row>
    <row r="6" spans="1:38" s="1876" customFormat="1" ht="6" customHeight="1">
      <c r="A6" s="1966"/>
      <c r="B6" s="1966"/>
      <c r="C6" s="1966"/>
      <c r="D6" s="1966"/>
      <c r="E6" s="1966"/>
      <c r="F6" s="1966"/>
      <c r="G6" s="1877"/>
      <c r="H6" s="1877"/>
      <c r="I6" s="1877"/>
      <c r="J6" s="1877"/>
      <c r="K6" s="1877"/>
      <c r="N6" s="1873"/>
      <c r="O6" s="1874"/>
      <c r="P6" s="1874"/>
      <c r="Q6" s="1874"/>
      <c r="R6" s="1874"/>
      <c r="S6" s="1874"/>
      <c r="T6" s="1874"/>
      <c r="U6" s="1875"/>
      <c r="V6" s="1875"/>
      <c r="W6" s="1875"/>
      <c r="X6" s="1875"/>
      <c r="Y6" s="1873"/>
      <c r="Z6" s="1873"/>
      <c r="AA6" s="1873"/>
      <c r="AB6" s="1873"/>
      <c r="AC6" s="1873"/>
      <c r="AD6" s="1873"/>
      <c r="AE6" s="1873"/>
      <c r="AF6" s="1873"/>
      <c r="AG6" s="1873"/>
      <c r="AH6" s="1873"/>
      <c r="AI6" s="1873"/>
      <c r="AJ6" s="1873"/>
      <c r="AK6" s="1873"/>
      <c r="AL6" s="1873"/>
    </row>
    <row r="7" spans="1:38" ht="45.75" hidden="1" customHeight="1">
      <c r="E7" s="196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8"/>
      <c r="G7" s="1968"/>
      <c r="H7" s="1968"/>
      <c r="I7" s="1968"/>
      <c r="J7" s="1968"/>
      <c r="K7" s="1968"/>
      <c r="L7" s="1968"/>
      <c r="M7" s="1968"/>
    </row>
    <row r="8" spans="1:38" s="1876" customFormat="1" ht="6" customHeight="1">
      <c r="A8" s="1878"/>
      <c r="B8" s="1878"/>
      <c r="C8" s="1878"/>
      <c r="D8" s="1878"/>
      <c r="E8" s="1878"/>
      <c r="F8" s="1878"/>
      <c r="G8" s="1878"/>
      <c r="H8" s="1878"/>
      <c r="I8" s="1878"/>
      <c r="J8" s="1878"/>
      <c r="K8" s="1878"/>
      <c r="L8" s="1878"/>
      <c r="N8" s="1873"/>
      <c r="O8" s="1874"/>
      <c r="P8" s="1874"/>
      <c r="Q8" s="1874"/>
      <c r="R8" s="1874"/>
      <c r="S8" s="1874"/>
      <c r="T8" s="1874"/>
      <c r="U8" s="1875"/>
      <c r="V8" s="1875"/>
      <c r="W8" s="1875"/>
      <c r="X8" s="1875"/>
      <c r="Y8" s="1873"/>
      <c r="Z8" s="1873"/>
      <c r="AA8" s="1873"/>
      <c r="AB8" s="1873"/>
      <c r="AC8" s="1873"/>
      <c r="AD8" s="1873"/>
      <c r="AE8" s="1873"/>
      <c r="AF8" s="1873"/>
      <c r="AG8" s="1873"/>
      <c r="AH8" s="1873"/>
      <c r="AI8" s="1873"/>
      <c r="AJ8" s="1873"/>
      <c r="AK8" s="1873"/>
      <c r="AL8" s="1873"/>
    </row>
    <row r="9" spans="1:38" ht="18" customHeight="1">
      <c r="A9" s="1969"/>
      <c r="B9" s="1877"/>
      <c r="C9" s="1877"/>
      <c r="D9" s="1970" t="s">
        <v>39</v>
      </c>
      <c r="E9" s="1970"/>
      <c r="F9" s="1971" t="s">
        <v>40</v>
      </c>
      <c r="G9" s="1972"/>
      <c r="H9" s="1972"/>
      <c r="I9" s="1972"/>
      <c r="J9" s="1973" t="s">
        <v>41</v>
      </c>
      <c r="K9" s="1973"/>
      <c r="L9" s="1973"/>
      <c r="M9" s="1973"/>
    </row>
    <row r="10" spans="1:38" ht="22.5" customHeight="1">
      <c r="A10" s="1969"/>
      <c r="B10" s="1879"/>
      <c r="C10" s="1880"/>
      <c r="D10" s="1881" t="s">
        <v>22</v>
      </c>
      <c r="E10" s="1881" t="s">
        <v>23</v>
      </c>
      <c r="F10" s="1881" t="s">
        <v>42</v>
      </c>
      <c r="G10" s="1974" t="s">
        <v>22</v>
      </c>
      <c r="H10" s="1975"/>
      <c r="I10" s="1881" t="s">
        <v>23</v>
      </c>
      <c r="J10" s="1881" t="s">
        <v>42</v>
      </c>
      <c r="K10" s="1974" t="s">
        <v>22</v>
      </c>
      <c r="L10" s="1975"/>
      <c r="M10" s="1881" t="s">
        <v>23</v>
      </c>
      <c r="N10" s="1882"/>
    </row>
    <row r="11" spans="1:38" s="1868" customFormat="1" ht="11.25" hidden="1" customHeight="1">
      <c r="A11" s="1883"/>
      <c r="B11" s="1883"/>
      <c r="C11" s="1883"/>
      <c r="D11" s="1884" t="s">
        <v>43</v>
      </c>
      <c r="E11" s="1884" t="s">
        <v>44</v>
      </c>
      <c r="F11" s="1884" t="s">
        <v>24</v>
      </c>
      <c r="G11" s="1976" t="s">
        <v>25</v>
      </c>
      <c r="H11" s="1977"/>
      <c r="I11" s="1884" t="s">
        <v>45</v>
      </c>
      <c r="J11" s="1884" t="s">
        <v>26</v>
      </c>
      <c r="K11" s="1978" t="s">
        <v>27</v>
      </c>
      <c r="L11" s="1979"/>
      <c r="M11" s="1884" t="s">
        <v>46</v>
      </c>
      <c r="N11" s="1882"/>
      <c r="O11" s="1870"/>
      <c r="P11" s="1870"/>
      <c r="Q11" s="1870"/>
      <c r="R11" s="1870"/>
      <c r="S11" s="1870"/>
      <c r="T11" s="1870"/>
      <c r="U11" s="1871"/>
      <c r="V11" s="1871"/>
      <c r="W11" s="1871"/>
      <c r="X11" s="1871"/>
      <c r="Y11" s="1869"/>
      <c r="Z11" s="1869"/>
      <c r="AA11" s="1869"/>
      <c r="AB11" s="1869"/>
      <c r="AC11" s="1869"/>
      <c r="AD11" s="1869"/>
      <c r="AE11" s="1869"/>
      <c r="AF11" s="1869"/>
      <c r="AG11" s="1869"/>
      <c r="AH11" s="1869"/>
      <c r="AI11" s="1869"/>
      <c r="AJ11" s="1869"/>
      <c r="AK11" s="1869"/>
      <c r="AL11" s="1869"/>
    </row>
    <row r="12" spans="1:38" ht="0.75" customHeight="1">
      <c r="A12" s="1885"/>
      <c r="B12" s="1879"/>
      <c r="C12" s="1879"/>
      <c r="D12" s="1886"/>
      <c r="E12" s="1887"/>
      <c r="F12" s="1887"/>
      <c r="G12" s="1888"/>
      <c r="H12" s="1888"/>
      <c r="I12" s="1887"/>
      <c r="J12" s="1887"/>
      <c r="K12" s="1889"/>
      <c r="L12" s="1887"/>
      <c r="M12" s="1890"/>
      <c r="N12" s="1882"/>
      <c r="O12" s="1870" t="s">
        <v>47</v>
      </c>
      <c r="P12" s="1870" t="s">
        <v>48</v>
      </c>
      <c r="Q12" s="1870" t="s">
        <v>49</v>
      </c>
      <c r="R12" s="1870" t="s">
        <v>50</v>
      </c>
    </row>
    <row r="13" spans="1:38" s="1868" customFormat="1" ht="15" customHeight="1">
      <c r="A13" s="1872"/>
      <c r="B13" s="1872"/>
      <c r="C13" s="1891"/>
      <c r="D13" s="1980" t="s">
        <v>43</v>
      </c>
      <c r="E13" s="198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1984" t="s">
        <v>15</v>
      </c>
      <c r="G13" s="1986"/>
      <c r="H13" s="1987">
        <v>1</v>
      </c>
      <c r="I13" s="1988" t="s">
        <v>1</v>
      </c>
      <c r="J13" s="1985" t="s">
        <v>15</v>
      </c>
      <c r="K13" s="1892"/>
      <c r="L13" s="1893" t="s">
        <v>43</v>
      </c>
      <c r="M13" s="1894" t="s">
        <v>1</v>
      </c>
      <c r="N13" s="1882"/>
      <c r="O13" s="1870" t="s">
        <v>51</v>
      </c>
      <c r="P13" s="1870" t="str">
        <f>$E$13</f>
        <v>Производство тепловой энергии. Некомбинированная выработка; Передача. Тепловая энергия; Сбыт. Тепловая энергия</v>
      </c>
      <c r="Q13" s="1870" t="str">
        <f>IF($F$13="нет","без дифференциации",$I$13)</f>
        <v>без дифференциации</v>
      </c>
      <c r="R13" s="1870" t="str">
        <f>IF($J$13="нет","без дифференциации",M13)</f>
        <v>без дифференциации</v>
      </c>
      <c r="S13" s="1870"/>
      <c r="T13" s="1870"/>
      <c r="U13" s="1871"/>
      <c r="V13" s="1871" t="s">
        <v>52</v>
      </c>
      <c r="W13" s="1871"/>
      <c r="X13" s="1871"/>
      <c r="Y13" s="1869" t="s">
        <v>53</v>
      </c>
      <c r="Z13" s="1869">
        <v>1705000</v>
      </c>
      <c r="AA13" s="1869"/>
      <c r="AB13" s="1869"/>
      <c r="AC13" s="1869"/>
      <c r="AD13" s="1869"/>
      <c r="AE13" s="1869"/>
      <c r="AF13" s="1869"/>
      <c r="AG13" s="1869"/>
      <c r="AH13" s="1869"/>
      <c r="AI13" s="1869"/>
      <c r="AJ13" s="1869"/>
      <c r="AK13" s="1869"/>
      <c r="AL13" s="1869"/>
    </row>
    <row r="14" spans="1:38" s="1868" customFormat="1" ht="15" customHeight="1">
      <c r="A14" s="1872"/>
      <c r="B14" s="1872"/>
      <c r="C14" s="1895"/>
      <c r="D14" s="1980"/>
      <c r="E14" s="1982"/>
      <c r="F14" s="1985"/>
      <c r="G14" s="1986"/>
      <c r="H14" s="1987"/>
      <c r="I14" s="1989" t="s">
        <v>1</v>
      </c>
      <c r="J14" s="1985"/>
      <c r="K14" s="1896"/>
      <c r="L14" s="1897"/>
      <c r="M14" s="1898" t="s">
        <v>54</v>
      </c>
      <c r="N14" s="1882"/>
      <c r="O14" s="1870"/>
      <c r="P14" s="1870"/>
      <c r="Q14" s="1870"/>
      <c r="R14" s="1870"/>
      <c r="S14" s="1870"/>
      <c r="T14" s="1870"/>
      <c r="U14" s="1871"/>
      <c r="V14" s="1871"/>
      <c r="W14" s="1871"/>
      <c r="X14" s="1871"/>
      <c r="Y14" s="1869"/>
      <c r="Z14" s="1869"/>
      <c r="AA14" s="1869"/>
      <c r="AB14" s="1869"/>
      <c r="AC14" s="1869"/>
      <c r="AD14" s="1869"/>
      <c r="AE14" s="1869"/>
      <c r="AF14" s="1869"/>
      <c r="AG14" s="1869"/>
      <c r="AH14" s="1869"/>
      <c r="AI14" s="1869"/>
      <c r="AJ14" s="1869"/>
      <c r="AK14" s="1869"/>
      <c r="AL14" s="1869"/>
    </row>
    <row r="15" spans="1:38" s="1868" customFormat="1" ht="15" customHeight="1">
      <c r="A15" s="1872"/>
      <c r="B15" s="1872"/>
      <c r="C15" s="1895"/>
      <c r="D15" s="1980"/>
      <c r="E15" s="1983"/>
      <c r="F15" s="1985"/>
      <c r="G15" s="1899"/>
      <c r="H15" s="1900"/>
      <c r="I15" s="1901" t="s">
        <v>55</v>
      </c>
      <c r="J15" s="1897"/>
      <c r="K15" s="1897"/>
      <c r="L15" s="1897"/>
      <c r="M15" s="1902"/>
      <c r="N15" s="1882"/>
      <c r="O15" s="1870"/>
      <c r="P15" s="1870"/>
      <c r="Q15" s="1870"/>
      <c r="R15" s="1870"/>
      <c r="S15" s="1870"/>
      <c r="T15" s="1870"/>
      <c r="U15" s="1871"/>
      <c r="V15" s="1871"/>
      <c r="W15" s="1871"/>
      <c r="X15" s="1871"/>
      <c r="Y15" s="1869"/>
      <c r="Z15" s="1869"/>
      <c r="AA15" s="1869"/>
      <c r="AB15" s="1869"/>
      <c r="AC15" s="1869"/>
      <c r="AD15" s="1869"/>
      <c r="AE15" s="1869"/>
      <c r="AF15" s="1869"/>
      <c r="AG15" s="1869"/>
      <c r="AH15" s="1869"/>
      <c r="AI15" s="1869"/>
      <c r="AJ15" s="1869"/>
      <c r="AK15" s="1869"/>
      <c r="AL15" s="1869"/>
    </row>
    <row r="16" spans="1:38" ht="15" customHeight="1">
      <c r="A16" s="1872"/>
      <c r="B16" s="1872"/>
      <c r="C16" s="1992" t="s">
        <v>56</v>
      </c>
      <c r="D16" s="1980" t="s">
        <v>44</v>
      </c>
      <c r="E16" s="1981"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F16" s="1985" t="s">
        <v>15</v>
      </c>
      <c r="G16" s="1994"/>
      <c r="H16" s="1970">
        <v>1</v>
      </c>
      <c r="I16" s="1990" t="str">
        <f>IF(U16="","",INDEX(TERRITORY_MR_LIST,MATCH(U16,TERRITORY_LIST_ID,0)))</f>
        <v/>
      </c>
      <c r="J16" s="1985" t="s">
        <v>15</v>
      </c>
      <c r="K16" s="1931"/>
      <c r="L16" s="1893" t="s">
        <v>43</v>
      </c>
      <c r="M16" s="1894"/>
      <c r="O16" s="1869" t="s">
        <v>57</v>
      </c>
      <c r="P16" s="1869" t="str">
        <f>$E$16</f>
        <v>Производство. Теплоноситель; Передача. Теплоноситель; Сбыт. Теплоноситель</v>
      </c>
      <c r="Q16" s="1869" t="str">
        <f>IF($F$16="нет","без дифференциации",$I$16)</f>
        <v>без дифференциации</v>
      </c>
      <c r="R16" s="1869" t="str">
        <f>IF($J$16="нет","без дифференциации",$M$16)</f>
        <v>без дифференциации</v>
      </c>
      <c r="S16" s="1869"/>
      <c r="T16" s="1869"/>
      <c r="U16" s="1932"/>
      <c r="V16" s="1869" t="s">
        <v>58</v>
      </c>
      <c r="W16" s="1869"/>
      <c r="X16" s="1869"/>
      <c r="Y16" s="1869" t="s">
        <v>53</v>
      </c>
      <c r="Z16" s="1869">
        <v>1705000</v>
      </c>
    </row>
    <row r="17" spans="1:24" ht="15" customHeight="1">
      <c r="A17" s="1872"/>
      <c r="B17" s="1872"/>
      <c r="C17" s="1993"/>
      <c r="D17" s="1980"/>
      <c r="E17" s="1982"/>
      <c r="F17" s="1985"/>
      <c r="G17" s="1995"/>
      <c r="H17" s="1970"/>
      <c r="I17" s="1991"/>
      <c r="J17" s="1985"/>
      <c r="K17" s="1896"/>
      <c r="L17" s="1897"/>
      <c r="M17" s="1898" t="s">
        <v>54</v>
      </c>
      <c r="O17" s="1869"/>
      <c r="P17" s="1869"/>
      <c r="Q17" s="1869"/>
      <c r="R17" s="1869"/>
      <c r="S17" s="1869"/>
      <c r="T17" s="1869"/>
      <c r="U17" s="1932"/>
      <c r="V17" s="1869"/>
      <c r="W17" s="1869"/>
      <c r="X17" s="1869"/>
    </row>
    <row r="18" spans="1:24" ht="15" customHeight="1">
      <c r="A18" s="1872"/>
      <c r="B18" s="1872"/>
      <c r="C18" s="1993"/>
      <c r="D18" s="1980"/>
      <c r="E18" s="1983"/>
      <c r="F18" s="1985"/>
      <c r="G18" s="1896"/>
      <c r="H18" s="1897"/>
      <c r="I18" s="1901" t="s">
        <v>55</v>
      </c>
      <c r="J18" s="1897"/>
      <c r="K18" s="1897"/>
      <c r="L18" s="1897"/>
      <c r="M18" s="1902"/>
      <c r="O18" s="1869"/>
      <c r="P18" s="1869"/>
      <c r="Q18" s="1869"/>
      <c r="R18" s="1869"/>
      <c r="S18" s="1869"/>
      <c r="T18" s="1869"/>
      <c r="U18" s="1932"/>
      <c r="V18" s="1869"/>
      <c r="W18" s="1869"/>
      <c r="X18" s="1869"/>
    </row>
    <row r="19" spans="1:24" ht="15" customHeight="1">
      <c r="A19" s="1903"/>
      <c r="B19" s="1904"/>
      <c r="C19" s="1905"/>
      <c r="D19" s="1896"/>
      <c r="E19" s="1906" t="s">
        <v>59</v>
      </c>
      <c r="F19" s="1897"/>
      <c r="G19" s="1897"/>
      <c r="H19" s="1897"/>
      <c r="I19" s="1897"/>
      <c r="J19" s="1897"/>
      <c r="K19" s="1897" t="s">
        <v>1</v>
      </c>
      <c r="L19" s="1897"/>
      <c r="M19" s="1902"/>
      <c r="N19" s="1882"/>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G11:H11"/>
    <mergeCell ref="K11:L11"/>
    <mergeCell ref="D13:D15"/>
    <mergeCell ref="E13:E15"/>
    <mergeCell ref="F13:F15"/>
    <mergeCell ref="G13:G14"/>
    <mergeCell ref="H13:H14"/>
    <mergeCell ref="I13:I14"/>
    <mergeCell ref="J13:J14"/>
    <mergeCell ref="D4:I4"/>
    <mergeCell ref="D5:I5"/>
    <mergeCell ref="A6:F6"/>
    <mergeCell ref="E7:M7"/>
    <mergeCell ref="A9:A10"/>
    <mergeCell ref="D9:E9"/>
    <mergeCell ref="F9:I9"/>
    <mergeCell ref="J9:M9"/>
    <mergeCell ref="G10:H10"/>
    <mergeCell ref="K10:L10"/>
  </mergeCells>
  <dataValidations count="1">
    <dataValidation type="textLength" operator="lessThan" allowBlank="1" showInputMessage="1" showErrorMessage="1" error="Допускается ввод не более 900 символов!" sqref="M16 M13">
      <formula1>900</formula1>
    </dataValidation>
  </dataValidations>
  <pageMargins left="0.70866141732283472" right="0.70866141732283472" top="0.74803149606299213" bottom="0.74803149606299213" header="0.31496062992125984" footer="0.31496062992125984"/>
  <pageSetup paperSize="9" scale="76" orientation="landscape" r:id="rId1"/>
  <headerFooter>
    <oddHeader>&amp;L&amp;C&amp;R</oddHeader>
    <oddFooter>&amp;L&amp;C&amp;R</oddFooter>
    <evenHeader>&amp;L&amp;C&amp;R</evenHeader>
    <evenFooter>&amp;L&amp;C&amp;R</evenFooter>
  </headerFooter>
  <drawing r:id="rId2"/>
</worksheet>
</file>

<file path=xl/worksheets/sheet3.xml><?xml version="1.0" encoding="utf-8"?>
<worksheet xmlns="http://schemas.openxmlformats.org/spreadsheetml/2006/main" xmlns:r="http://schemas.openxmlformats.org/officeDocument/2006/relationships">
  <sheetPr>
    <tabColor rgb="FFCCCCFF"/>
  </sheetPr>
  <dimension ref="A1:AR130"/>
  <sheetViews>
    <sheetView showGridLines="0" topLeftCell="C4" zoomScale="90" workbookViewId="0"/>
  </sheetViews>
  <sheetFormatPr defaultColWidth="9.140625" defaultRowHeight="11.25" customHeight="1"/>
  <cols>
    <col min="1" max="2" width="3.7109375" style="1654" hidden="1" customWidth="1"/>
    <col min="3" max="3" width="3.7109375" style="1655" customWidth="1"/>
    <col min="4" max="4" width="6.140625" style="1655" customWidth="1"/>
    <col min="5" max="5" width="43.140625" style="1655" customWidth="1"/>
    <col min="6" max="6" width="15" style="1648" customWidth="1"/>
    <col min="7" max="7" width="43.140625" style="1655" customWidth="1"/>
    <col min="8" max="8" width="3.7109375" style="1655" customWidth="1"/>
    <col min="9" max="9" width="5.42578125" style="1655" customWidth="1"/>
    <col min="10" max="10" width="47.85546875" style="1655" customWidth="1"/>
    <col min="11" max="12" width="3.7109375" style="1655" customWidth="1"/>
    <col min="13" max="13" width="5.7109375" style="1655" customWidth="1"/>
    <col min="14" max="14" width="28.140625" style="1655" customWidth="1"/>
    <col min="15" max="16" width="3.7109375" style="1655" customWidth="1"/>
    <col min="17" max="17" width="5.7109375" style="1655" customWidth="1"/>
    <col min="18" max="18" width="34.42578125" style="1655" customWidth="1"/>
    <col min="19" max="20" width="3.7109375" style="1656" customWidth="1"/>
    <col min="21" max="21" width="5.7109375" style="1656" customWidth="1"/>
    <col min="22" max="22" width="34.42578125" style="1656" customWidth="1"/>
    <col min="23" max="23" width="30.7109375" style="1655" customWidth="1"/>
    <col min="24" max="24" width="3.7109375" style="1655" customWidth="1"/>
    <col min="25" max="28" width="9.85546875" style="1643" hidden="1" customWidth="1"/>
    <col min="29" max="29" width="27" style="1643" hidden="1" customWidth="1"/>
    <col min="30" max="30" width="10.5703125" style="1643" hidden="1" customWidth="1"/>
    <col min="31" max="31" width="10.7109375" style="1643" hidden="1" customWidth="1"/>
    <col min="32" max="32" width="10" style="1643" hidden="1" customWidth="1"/>
    <col min="33" max="33" width="12.85546875" style="1643" hidden="1" customWidth="1"/>
    <col min="34" max="34" width="10.28515625" style="1643" hidden="1" customWidth="1"/>
    <col min="35" max="35" width="15.85546875" style="1643" hidden="1" customWidth="1"/>
    <col min="36" max="36" width="19.42578125" style="1643" hidden="1" customWidth="1"/>
    <col min="37" max="37" width="11" style="1643" hidden="1" customWidth="1"/>
    <col min="38" max="38" width="23.5703125" style="1643" hidden="1" customWidth="1"/>
    <col min="39" max="39" width="23.85546875" style="1643" hidden="1" customWidth="1"/>
    <col min="40" max="40" width="25.28515625" style="1643" hidden="1" customWidth="1"/>
    <col min="41" max="41" width="16.85546875" style="1643" hidden="1" customWidth="1"/>
    <col min="42" max="42" width="29.5703125" style="1643" hidden="1" customWidth="1"/>
    <col min="43" max="43" width="29.85546875" style="1643" hidden="1" customWidth="1"/>
    <col min="44" max="44" width="9.140625" style="1655" hidden="1"/>
  </cols>
  <sheetData>
    <row r="1" spans="1:43" ht="11.25" hidden="1" customHeight="1">
      <c r="A1" s="58"/>
    </row>
    <row r="2" spans="1:43" ht="11.25" hidden="1" customHeight="1"/>
    <row r="3" spans="1:43" ht="11.25" hidden="1" customHeight="1"/>
    <row r="4" spans="1:43" ht="3" customHeight="1"/>
    <row r="5" spans="1:43" s="1641" customFormat="1" ht="29.25" customHeight="1">
      <c r="A5" s="56"/>
      <c r="B5" s="56"/>
      <c r="D5" s="20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8"/>
      <c r="F5" s="2028"/>
      <c r="G5" s="2028"/>
      <c r="H5" s="2028"/>
      <c r="I5" s="2028"/>
      <c r="J5" s="2029"/>
      <c r="K5" s="144"/>
      <c r="L5" s="49"/>
      <c r="M5" s="49"/>
      <c r="N5" s="49"/>
      <c r="O5" s="49"/>
      <c r="P5" s="49"/>
      <c r="Q5" s="49"/>
      <c r="R5" s="49"/>
      <c r="S5" s="166"/>
      <c r="T5" s="166"/>
      <c r="U5" s="166"/>
      <c r="V5" s="166"/>
      <c r="W5" s="49"/>
      <c r="Y5" s="1047"/>
      <c r="Z5" s="1047"/>
      <c r="AA5" s="1047"/>
      <c r="AB5" s="1047"/>
      <c r="AC5" s="1047"/>
      <c r="AD5" s="1047"/>
      <c r="AE5" s="1047"/>
      <c r="AF5" s="1047"/>
      <c r="AG5" s="1047"/>
      <c r="AH5" s="1047"/>
      <c r="AI5" s="1047"/>
      <c r="AJ5" s="1047"/>
      <c r="AK5" s="1047"/>
      <c r="AL5" s="1047"/>
      <c r="AM5" s="1047"/>
      <c r="AN5" s="1047"/>
      <c r="AO5" s="1047"/>
      <c r="AP5" s="1047"/>
      <c r="AQ5" s="1047"/>
    </row>
    <row r="6" spans="1:43" s="1639" customFormat="1" ht="15" customHeight="1">
      <c r="A6" s="441"/>
      <c r="B6" s="441"/>
      <c r="C6" s="441"/>
      <c r="D6" s="2033" t="e">
        <f>IF(org=0,"Не определено",org)</f>
        <v>#REF!</v>
      </c>
      <c r="E6" s="2033"/>
      <c r="F6" s="2033"/>
      <c r="G6" s="2033"/>
      <c r="H6" s="2033"/>
      <c r="I6" s="2033"/>
      <c r="J6" s="2033"/>
      <c r="K6" s="442"/>
      <c r="L6" s="442"/>
      <c r="M6" s="442"/>
      <c r="N6" s="442"/>
      <c r="O6" s="668"/>
      <c r="P6" s="668"/>
      <c r="Q6" s="668"/>
      <c r="R6" s="668"/>
      <c r="S6" s="668"/>
      <c r="T6" s="668"/>
      <c r="U6" s="668"/>
      <c r="V6" s="668"/>
      <c r="W6" s="668"/>
      <c r="X6" s="442"/>
      <c r="Y6" s="1048"/>
      <c r="Z6" s="1048"/>
      <c r="AA6" s="1048"/>
      <c r="AB6" s="1048"/>
      <c r="AC6" s="1048"/>
      <c r="AD6" s="1048"/>
      <c r="AE6" s="1048"/>
      <c r="AF6" s="1048"/>
      <c r="AG6" s="1048"/>
      <c r="AH6" s="1048"/>
      <c r="AI6" s="1048"/>
      <c r="AJ6" s="1048"/>
      <c r="AK6" s="1048"/>
      <c r="AL6" s="1048"/>
      <c r="AM6" s="1048"/>
      <c r="AN6" s="1048"/>
      <c r="AO6" s="1048"/>
      <c r="AP6" s="1048"/>
      <c r="AQ6" s="1048"/>
    </row>
    <row r="7" spans="1:43" s="1642" customFormat="1" ht="11.25" customHeight="1">
      <c r="A7" s="111"/>
      <c r="B7" s="111"/>
      <c r="D7" s="2030"/>
      <c r="E7" s="2031"/>
      <c r="F7" s="2031"/>
      <c r="G7" s="2031"/>
      <c r="H7" s="2031"/>
      <c r="I7" s="2031"/>
      <c r="J7" s="2032"/>
      <c r="S7" s="174"/>
      <c r="T7" s="174"/>
      <c r="U7" s="174"/>
      <c r="V7" s="174"/>
      <c r="Y7" s="1049"/>
      <c r="Z7" s="1049"/>
      <c r="AA7" s="1049"/>
      <c r="AB7" s="1049"/>
      <c r="AC7" s="1049"/>
      <c r="AD7" s="1049"/>
      <c r="AE7" s="1049"/>
      <c r="AF7" s="1049"/>
      <c r="AG7" s="1049"/>
      <c r="AH7" s="1049"/>
      <c r="AI7" s="1049"/>
      <c r="AJ7" s="1049"/>
      <c r="AK7" s="1049"/>
      <c r="AL7" s="1049"/>
      <c r="AM7" s="1049"/>
      <c r="AN7" s="1049"/>
      <c r="AO7" s="1049"/>
      <c r="AP7" s="1049"/>
      <c r="AQ7" s="1049"/>
    </row>
    <row r="8" spans="1:43" s="1641" customFormat="1" ht="0.75" customHeight="1">
      <c r="A8" s="56"/>
      <c r="B8" s="56"/>
      <c r="D8" s="112"/>
      <c r="E8" s="112"/>
      <c r="F8" s="112"/>
      <c r="G8" s="112"/>
      <c r="H8" s="112"/>
      <c r="I8" s="112"/>
      <c r="J8" s="112"/>
      <c r="K8" s="112"/>
      <c r="L8" s="112"/>
      <c r="M8" s="112"/>
      <c r="N8" s="112"/>
      <c r="O8" s="112"/>
      <c r="P8" s="112"/>
      <c r="Q8" s="112"/>
      <c r="R8" s="112"/>
      <c r="S8" s="112"/>
      <c r="T8" s="112"/>
      <c r="U8" s="112"/>
      <c r="V8" s="112"/>
      <c r="W8" s="112"/>
      <c r="X8" s="43"/>
      <c r="Y8" s="1047"/>
      <c r="Z8" s="1047"/>
      <c r="AA8" s="1047"/>
      <c r="AB8" s="1047"/>
      <c r="AC8" s="1047"/>
      <c r="AD8" s="1047"/>
      <c r="AE8" s="1047"/>
      <c r="AF8" s="1047"/>
      <c r="AG8" s="1047"/>
      <c r="AH8" s="1047"/>
      <c r="AI8" s="1047"/>
      <c r="AJ8" s="1047"/>
      <c r="AK8" s="1047"/>
      <c r="AL8" s="1047"/>
      <c r="AM8" s="1047"/>
      <c r="AN8" s="1047"/>
      <c r="AO8" s="1047"/>
      <c r="AP8" s="1047"/>
      <c r="AQ8" s="1047"/>
    </row>
    <row r="9" spans="1:43" ht="27" customHeight="1">
      <c r="D9" s="2025" t="s">
        <v>22</v>
      </c>
      <c r="E9" s="1956" t="s">
        <v>60</v>
      </c>
      <c r="F9" s="1958"/>
      <c r="G9" s="2025" t="s">
        <v>39</v>
      </c>
      <c r="H9" s="2025" t="s">
        <v>22</v>
      </c>
      <c r="I9" s="2025"/>
      <c r="J9" s="2025" t="s">
        <v>61</v>
      </c>
      <c r="K9" s="2034" t="s">
        <v>62</v>
      </c>
      <c r="L9" s="2034"/>
      <c r="M9" s="2034"/>
      <c r="N9" s="2034"/>
      <c r="O9" s="2034" t="s">
        <v>63</v>
      </c>
      <c r="P9" s="2034"/>
      <c r="Q9" s="2034"/>
      <c r="R9" s="2034"/>
      <c r="S9" s="2034" t="s">
        <v>64</v>
      </c>
      <c r="T9" s="2034"/>
      <c r="U9" s="2034"/>
      <c r="V9" s="2034"/>
      <c r="W9" s="2025" t="s">
        <v>65</v>
      </c>
    </row>
    <row r="10" spans="1:43" ht="30" customHeight="1">
      <c r="D10" s="2025"/>
      <c r="E10" s="1067" t="s">
        <v>23</v>
      </c>
      <c r="F10" s="1067" t="s">
        <v>66</v>
      </c>
      <c r="G10" s="2025"/>
      <c r="H10" s="2025"/>
      <c r="I10" s="2025"/>
      <c r="J10" s="2025"/>
      <c r="K10" s="26" t="s">
        <v>42</v>
      </c>
      <c r="L10" s="2025" t="s">
        <v>22</v>
      </c>
      <c r="M10" s="2025"/>
      <c r="N10" s="26" t="s">
        <v>67</v>
      </c>
      <c r="O10" s="26" t="s">
        <v>42</v>
      </c>
      <c r="P10" s="2025" t="s">
        <v>22</v>
      </c>
      <c r="Q10" s="2025"/>
      <c r="R10" s="26" t="s">
        <v>67</v>
      </c>
      <c r="S10" s="159" t="s">
        <v>42</v>
      </c>
      <c r="T10" s="2025" t="s">
        <v>22</v>
      </c>
      <c r="U10" s="2025"/>
      <c r="V10" s="159" t="s">
        <v>23</v>
      </c>
      <c r="W10" s="2025"/>
      <c r="Z10" s="1046" t="s">
        <v>68</v>
      </c>
      <c r="AA10" s="1046" t="s">
        <v>69</v>
      </c>
      <c r="AB10" s="1046" t="s">
        <v>70</v>
      </c>
      <c r="AC10" s="1046" t="s">
        <v>71</v>
      </c>
      <c r="AD10" s="1046" t="s">
        <v>72</v>
      </c>
      <c r="AE10" s="1046" t="s">
        <v>73</v>
      </c>
      <c r="AF10" s="1046" t="s">
        <v>74</v>
      </c>
      <c r="AG10" s="1046" t="s">
        <v>75</v>
      </c>
      <c r="AH10" s="1046" t="s">
        <v>76</v>
      </c>
      <c r="AI10" s="1046" t="s">
        <v>77</v>
      </c>
      <c r="AJ10" s="1046" t="s">
        <v>78</v>
      </c>
      <c r="AK10" s="1046" t="s">
        <v>79</v>
      </c>
      <c r="AL10" s="1046" t="s">
        <v>80</v>
      </c>
      <c r="AM10" s="1046" t="s">
        <v>81</v>
      </c>
      <c r="AN10" s="1046" t="s">
        <v>82</v>
      </c>
      <c r="AO10" s="1046" t="s">
        <v>83</v>
      </c>
      <c r="AP10" s="1046" t="s">
        <v>84</v>
      </c>
      <c r="AQ10" s="1046" t="s">
        <v>85</v>
      </c>
    </row>
    <row r="11" spans="1:43" s="1644" customFormat="1" ht="12" hidden="1" customHeight="1">
      <c r="D11" s="1026" t="s">
        <v>43</v>
      </c>
      <c r="E11" s="1026" t="s">
        <v>44</v>
      </c>
      <c r="F11" s="1026"/>
      <c r="G11" s="1026" t="s">
        <v>24</v>
      </c>
      <c r="H11" s="2026" t="s">
        <v>45</v>
      </c>
      <c r="I11" s="2026"/>
      <c r="J11" s="1026" t="s">
        <v>26</v>
      </c>
      <c r="K11" s="1026" t="s">
        <v>27</v>
      </c>
      <c r="L11" s="2026" t="s">
        <v>46</v>
      </c>
      <c r="M11" s="2026"/>
      <c r="N11" s="1026" t="s">
        <v>86</v>
      </c>
      <c r="O11" s="1026" t="s">
        <v>87</v>
      </c>
      <c r="P11" s="2026" t="s">
        <v>88</v>
      </c>
      <c r="Q11" s="2026"/>
      <c r="R11" s="1026" t="s">
        <v>89</v>
      </c>
      <c r="S11" s="1026" t="s">
        <v>88</v>
      </c>
      <c r="T11" s="2026" t="s">
        <v>89</v>
      </c>
      <c r="U11" s="2026"/>
      <c r="V11" s="1026" t="s">
        <v>90</v>
      </c>
      <c r="W11" s="1026" t="s">
        <v>91</v>
      </c>
      <c r="Y11" s="1046"/>
      <c r="Z11" s="1046"/>
      <c r="AA11" s="1046"/>
      <c r="AB11" s="1046"/>
      <c r="AC11" s="1046"/>
      <c r="AD11" s="1046"/>
      <c r="AE11" s="1046"/>
      <c r="AF11" s="1046"/>
      <c r="AG11" s="1046"/>
      <c r="AH11" s="1046"/>
      <c r="AI11" s="1046"/>
      <c r="AJ11" s="1046"/>
      <c r="AK11" s="1046"/>
      <c r="AL11" s="1046"/>
      <c r="AM11" s="1046"/>
      <c r="AN11" s="1046"/>
      <c r="AO11" s="1046"/>
      <c r="AP11" s="1046"/>
      <c r="AQ11" s="1046"/>
    </row>
    <row r="12" spans="1:43" ht="14.25" hidden="1" customHeight="1">
      <c r="C12" s="109"/>
      <c r="D12" s="1066">
        <v>0</v>
      </c>
      <c r="E12" s="130"/>
      <c r="F12" s="130"/>
      <c r="G12" s="130"/>
      <c r="H12" s="131"/>
      <c r="I12" s="131"/>
      <c r="J12" s="60"/>
      <c r="K12" s="27"/>
      <c r="L12" s="60"/>
      <c r="M12" s="60"/>
      <c r="N12" s="132"/>
      <c r="O12" s="27"/>
      <c r="P12" s="60"/>
      <c r="Q12" s="60"/>
      <c r="R12" s="133"/>
      <c r="S12" s="160"/>
      <c r="T12" s="168"/>
      <c r="U12" s="168"/>
      <c r="V12" s="171"/>
      <c r="W12" s="27"/>
      <c r="X12" s="48"/>
    </row>
    <row r="13" spans="1:43" s="1645" customFormat="1" ht="17.25" hidden="1" customHeight="1">
      <c r="A13" s="201"/>
      <c r="C13" s="109"/>
      <c r="D13" s="1998">
        <v>1</v>
      </c>
      <c r="E13" s="2000" t="s">
        <v>92</v>
      </c>
      <c r="F13" s="2002" t="s">
        <v>15</v>
      </c>
      <c r="G13" s="2000"/>
      <c r="H13" s="2005"/>
      <c r="I13" s="2007"/>
      <c r="J13" s="2009"/>
      <c r="K13" s="1996"/>
      <c r="L13" s="1996"/>
      <c r="M13" s="1996"/>
      <c r="N13" s="2012"/>
      <c r="O13" s="1996"/>
      <c r="P13" s="1996"/>
      <c r="Q13" s="1996"/>
      <c r="R13" s="2015"/>
      <c r="S13" s="1996"/>
      <c r="T13" s="1195"/>
      <c r="U13" s="1195"/>
      <c r="V13" s="1194"/>
      <c r="W13" s="1079"/>
      <c r="Y13" s="1050"/>
      <c r="Z13" s="1050"/>
      <c r="AA13" s="1050"/>
      <c r="AB13" s="1050"/>
      <c r="AC13" s="1050" t="s">
        <v>93</v>
      </c>
      <c r="AD13" s="1050" t="s">
        <v>94</v>
      </c>
      <c r="AE13" s="1050" t="s">
        <v>95</v>
      </c>
      <c r="AF13" s="1050" t="s">
        <v>96</v>
      </c>
      <c r="AG13" s="1050" t="s">
        <v>97</v>
      </c>
      <c r="AH13" s="105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050" t="str">
        <f>IF($G$13=0,"",$G$13)</f>
        <v/>
      </c>
      <c r="AJ13" s="1050" t="str">
        <f>IF($J$13=0,"",$J$13)</f>
        <v/>
      </c>
      <c r="AK13" s="1050" t="str">
        <f>IF($K$13="нет","без дифференциации",IF($N$13=0,"",$N$13))</f>
        <v/>
      </c>
      <c r="AL13" s="1050" t="str">
        <f>IF($O$13="нет","без дифференциации",IF($R$13=0,"",$R$13))</f>
        <v/>
      </c>
      <c r="AM13" s="1050" t="str">
        <f>IF($S$13="нет","без дифференциации",IF($V$13=0,"",$V$13))</f>
        <v/>
      </c>
      <c r="AN13" s="1050">
        <f>$I$13</f>
        <v>0</v>
      </c>
      <c r="AO13" s="1050" t="str">
        <f>$I$13&amp;"."&amp;$M$13</f>
        <v>.</v>
      </c>
      <c r="AP13" s="1050" t="str">
        <f>$I$13&amp;"."&amp;$M$13&amp;"."&amp;$Q$13</f>
        <v>..</v>
      </c>
      <c r="AQ13" s="1050" t="str">
        <f>$I$13&amp;"."&amp;$M$13&amp;"."&amp;$Q$13&amp;"."&amp;$U$13</f>
        <v>...</v>
      </c>
    </row>
    <row r="14" spans="1:43" s="1645" customFormat="1" ht="17.25" hidden="1" customHeight="1">
      <c r="A14" s="201"/>
      <c r="C14" s="200"/>
      <c r="D14" s="1998"/>
      <c r="E14" s="2000"/>
      <c r="F14" s="2003"/>
      <c r="G14" s="2000"/>
      <c r="H14" s="2006"/>
      <c r="I14" s="2008"/>
      <c r="J14" s="2010"/>
      <c r="K14" s="1997"/>
      <c r="L14" s="1997"/>
      <c r="M14" s="1997"/>
      <c r="N14" s="2013"/>
      <c r="O14" s="1997"/>
      <c r="P14" s="1997"/>
      <c r="Q14" s="1997"/>
      <c r="R14" s="2014"/>
      <c r="S14" s="1997"/>
      <c r="T14" s="1080"/>
      <c r="U14" s="1080"/>
      <c r="V14" s="1080"/>
      <c r="W14" s="1081"/>
      <c r="Y14" s="1046"/>
      <c r="Z14" s="1046"/>
      <c r="AA14" s="1046"/>
      <c r="AB14" s="1046"/>
      <c r="AC14" s="1046"/>
      <c r="AD14" s="1046"/>
      <c r="AE14" s="1046"/>
      <c r="AF14" s="1046"/>
      <c r="AG14" s="1046"/>
      <c r="AH14" s="1046"/>
      <c r="AI14" s="1046"/>
      <c r="AJ14" s="1046"/>
      <c r="AK14" s="1046"/>
      <c r="AL14" s="1046"/>
      <c r="AM14" s="1046"/>
      <c r="AN14" s="1046"/>
      <c r="AO14" s="1046"/>
      <c r="AP14" s="1046"/>
      <c r="AQ14" s="1046"/>
    </row>
    <row r="15" spans="1:43" s="1646" customFormat="1" ht="17.25" hidden="1" customHeight="1">
      <c r="A15" s="201"/>
      <c r="C15" s="109"/>
      <c r="D15" s="1998"/>
      <c r="E15" s="2000"/>
      <c r="F15" s="2003"/>
      <c r="G15" s="2000"/>
      <c r="H15" s="2006"/>
      <c r="I15" s="2008"/>
      <c r="J15" s="2011"/>
      <c r="K15" s="1997"/>
      <c r="L15" s="1997"/>
      <c r="M15" s="1997"/>
      <c r="N15" s="2014"/>
      <c r="O15" s="1997"/>
      <c r="P15" s="1193"/>
      <c r="Q15" s="1080"/>
      <c r="R15" s="1080"/>
      <c r="S15" s="212"/>
      <c r="T15" s="212"/>
      <c r="U15" s="212"/>
      <c r="V15" s="212"/>
      <c r="W15" s="1081"/>
      <c r="Y15" s="1050"/>
      <c r="Z15" s="1050"/>
      <c r="AA15" s="1050"/>
      <c r="AB15" s="1050"/>
      <c r="AC15" s="1050"/>
      <c r="AD15" s="1050"/>
      <c r="AE15" s="1050"/>
      <c r="AF15" s="1050"/>
      <c r="AG15" s="1050"/>
      <c r="AH15" s="1050"/>
      <c r="AI15" s="1050"/>
      <c r="AJ15" s="1050"/>
      <c r="AK15" s="1050"/>
      <c r="AL15" s="1050"/>
      <c r="AM15" s="1050"/>
      <c r="AN15" s="1050"/>
      <c r="AO15" s="1050"/>
      <c r="AP15" s="1050"/>
      <c r="AQ15" s="1050"/>
    </row>
    <row r="16" spans="1:43" s="1646" customFormat="1" ht="17.25" hidden="1" customHeight="1">
      <c r="A16" s="201"/>
      <c r="C16" s="200"/>
      <c r="D16" s="1998"/>
      <c r="E16" s="2000"/>
      <c r="F16" s="2003"/>
      <c r="G16" s="2000"/>
      <c r="H16" s="2006"/>
      <c r="I16" s="2008"/>
      <c r="J16" s="2011"/>
      <c r="K16" s="1997"/>
      <c r="L16" s="1080"/>
      <c r="M16" s="1080"/>
      <c r="N16" s="1080"/>
      <c r="O16" s="1080"/>
      <c r="P16" s="1080"/>
      <c r="Q16" s="1080"/>
      <c r="R16" s="1080"/>
      <c r="S16" s="212"/>
      <c r="T16" s="212"/>
      <c r="U16" s="212"/>
      <c r="V16" s="212"/>
      <c r="W16" s="1081"/>
      <c r="Y16" s="1046"/>
      <c r="Z16" s="1046"/>
      <c r="AA16" s="1046"/>
      <c r="AB16" s="1046"/>
      <c r="AC16" s="1046"/>
      <c r="AD16" s="1046"/>
      <c r="AE16" s="1046"/>
      <c r="AF16" s="1046"/>
      <c r="AG16" s="1046"/>
      <c r="AH16" s="1046"/>
      <c r="AI16" s="1046"/>
      <c r="AJ16" s="1046"/>
      <c r="AK16" s="1046"/>
      <c r="AL16" s="1046"/>
      <c r="AM16" s="1046"/>
      <c r="AN16" s="1046"/>
      <c r="AO16" s="1046"/>
      <c r="AP16" s="1046"/>
      <c r="AQ16" s="1046"/>
    </row>
    <row r="17" spans="1:43" s="1645" customFormat="1" ht="17.25" hidden="1" customHeight="1">
      <c r="A17" s="201"/>
      <c r="C17" s="200"/>
      <c r="D17" s="1999"/>
      <c r="E17" s="2001"/>
      <c r="F17" s="2004"/>
      <c r="G17" s="2001"/>
      <c r="H17" s="1082"/>
      <c r="I17" s="1083"/>
      <c r="J17" s="1083"/>
      <c r="K17" s="1083"/>
      <c r="L17" s="1083"/>
      <c r="M17" s="1083"/>
      <c r="N17" s="1083"/>
      <c r="O17" s="1083"/>
      <c r="P17" s="1083"/>
      <c r="Q17" s="1083"/>
      <c r="R17" s="1083"/>
      <c r="S17" s="1084"/>
      <c r="T17" s="1084"/>
      <c r="U17" s="1084"/>
      <c r="V17" s="1084"/>
      <c r="W17" s="1085"/>
      <c r="Y17" s="1046"/>
      <c r="Z17" s="1046"/>
      <c r="AA17" s="1046"/>
      <c r="AB17" s="1046"/>
      <c r="AC17" s="1046"/>
      <c r="AD17" s="1046"/>
      <c r="AE17" s="1046"/>
      <c r="AF17" s="1046"/>
      <c r="AG17" s="1046"/>
      <c r="AH17" s="1046"/>
      <c r="AI17" s="1046"/>
      <c r="AJ17" s="1046"/>
      <c r="AK17" s="1046"/>
      <c r="AL17" s="1046"/>
      <c r="AM17" s="1046"/>
      <c r="AN17" s="1046"/>
      <c r="AO17" s="1046"/>
      <c r="AP17" s="1046"/>
      <c r="AQ17" s="1046"/>
    </row>
    <row r="18" spans="1:43" s="1648" customFormat="1" ht="17.25" hidden="1" customHeight="1">
      <c r="A18" s="201"/>
      <c r="C18" s="109"/>
      <c r="D18" s="1998">
        <v>2</v>
      </c>
      <c r="E18" s="2000" t="s">
        <v>98</v>
      </c>
      <c r="F18" s="2002" t="s">
        <v>15</v>
      </c>
      <c r="G18" s="2000"/>
      <c r="H18" s="2005"/>
      <c r="I18" s="2007"/>
      <c r="J18" s="2009"/>
      <c r="K18" s="1996"/>
      <c r="L18" s="1996"/>
      <c r="M18" s="1996"/>
      <c r="N18" s="2012"/>
      <c r="O18" s="1996"/>
      <c r="P18" s="1996"/>
      <c r="Q18" s="1996"/>
      <c r="R18" s="2015"/>
      <c r="S18" s="1996"/>
      <c r="T18" s="1195"/>
      <c r="U18" s="1195"/>
      <c r="V18" s="1194"/>
      <c r="W18" s="1079"/>
      <c r="X18" s="1050"/>
      <c r="Y18" s="1050"/>
      <c r="Z18" s="1050"/>
      <c r="AA18" s="1050"/>
      <c r="AB18" s="1050"/>
      <c r="AC18" s="1050" t="s">
        <v>99</v>
      </c>
      <c r="AD18" s="1050" t="s">
        <v>100</v>
      </c>
      <c r="AE18" s="1050" t="s">
        <v>101</v>
      </c>
      <c r="AF18" s="1050" t="s">
        <v>102</v>
      </c>
      <c r="AG18" s="1050" t="s">
        <v>103</v>
      </c>
      <c r="AH18" s="1050" t="str">
        <f>IF($E$18=0,"",$E$18)</f>
        <v>Тарифы на тепловую энергию (мощность), поставляемую теплоснабжающими организациями потребителям, другим теплоснабжающим организациям</v>
      </c>
      <c r="AI18" s="1050" t="str">
        <f>IF($G$18=0,"",$G$18)</f>
        <v/>
      </c>
      <c r="AJ18" s="1050" t="str">
        <f>IF($J$18=0,"",$J$18)</f>
        <v/>
      </c>
      <c r="AK18" s="1050" t="str">
        <f>IF($K$18="нет","без дифференциации",IF($N$18=0,"",$N$18))</f>
        <v/>
      </c>
      <c r="AL18" s="1050" t="str">
        <f>IF($O$18="нет","без дифференциации",IF($R$18=0,"",$R$18))</f>
        <v/>
      </c>
      <c r="AM18" s="1050" t="str">
        <f>IF($S$18="нет","без дифференциации",IF($V$18=0,"",$V$18))</f>
        <v/>
      </c>
      <c r="AN18" s="1507">
        <f>$I$18</f>
        <v>0</v>
      </c>
      <c r="AO18" s="1050" t="str">
        <f>$I$18&amp;"."&amp;$M$18</f>
        <v>.</v>
      </c>
      <c r="AP18" s="1046" t="str">
        <f>$I$18&amp;"."&amp;$M$18&amp;"."&amp;$Q$18</f>
        <v>..</v>
      </c>
      <c r="AQ18" s="1046" t="str">
        <f>$I$18&amp;"."&amp;$M$18&amp;"."&amp;$Q$18&amp;"."&amp;$U$18</f>
        <v>...</v>
      </c>
    </row>
    <row r="19" spans="1:43" s="1648" customFormat="1" ht="17.25" hidden="1" customHeight="1">
      <c r="A19" s="201"/>
      <c r="C19" s="200"/>
      <c r="D19" s="1998"/>
      <c r="E19" s="2000"/>
      <c r="F19" s="2003"/>
      <c r="G19" s="2000"/>
      <c r="H19" s="2006"/>
      <c r="I19" s="2008"/>
      <c r="J19" s="2010"/>
      <c r="K19" s="1997"/>
      <c r="L19" s="1997"/>
      <c r="M19" s="1997"/>
      <c r="N19" s="2013"/>
      <c r="O19" s="1997"/>
      <c r="P19" s="1997"/>
      <c r="Q19" s="1997"/>
      <c r="R19" s="2014"/>
      <c r="S19" s="1997"/>
      <c r="T19" s="1080"/>
      <c r="U19" s="1080"/>
      <c r="V19" s="1080"/>
      <c r="W19" s="1081"/>
      <c r="X19" s="1046"/>
      <c r="Y19" s="1046"/>
      <c r="Z19" s="1046"/>
      <c r="AA19" s="1046"/>
      <c r="AB19" s="1046"/>
      <c r="AC19" s="1046"/>
      <c r="AD19" s="1046"/>
      <c r="AE19" s="1046"/>
      <c r="AF19" s="1046"/>
      <c r="AG19" s="1046"/>
      <c r="AH19" s="1046"/>
      <c r="AI19" s="1046"/>
      <c r="AJ19" s="1046"/>
      <c r="AK19" s="1046"/>
      <c r="AL19" s="1046"/>
      <c r="AM19" s="1046"/>
      <c r="AN19" s="1046"/>
      <c r="AO19" s="1046"/>
      <c r="AP19" s="1046"/>
      <c r="AQ19" s="1046"/>
    </row>
    <row r="20" spans="1:43" s="1648" customFormat="1" ht="17.25" hidden="1" customHeight="1">
      <c r="A20" s="201"/>
      <c r="C20" s="200"/>
      <c r="D20" s="1999"/>
      <c r="E20" s="2001"/>
      <c r="F20" s="2003"/>
      <c r="G20" s="2001"/>
      <c r="H20" s="2006"/>
      <c r="I20" s="2008"/>
      <c r="J20" s="2011"/>
      <c r="K20" s="1997"/>
      <c r="L20" s="1997"/>
      <c r="M20" s="1997"/>
      <c r="N20" s="2014"/>
      <c r="O20" s="1997"/>
      <c r="P20" s="1193"/>
      <c r="Q20" s="1080"/>
      <c r="R20" s="1080"/>
      <c r="S20" s="212"/>
      <c r="T20" s="212"/>
      <c r="U20" s="212"/>
      <c r="V20" s="212"/>
      <c r="W20" s="1081"/>
      <c r="X20" s="1046"/>
      <c r="Y20" s="1046"/>
      <c r="Z20" s="1046"/>
      <c r="AA20" s="1046"/>
      <c r="AB20" s="1046"/>
      <c r="AC20" s="1046"/>
      <c r="AD20" s="1046"/>
      <c r="AE20" s="1046"/>
      <c r="AF20" s="1046"/>
      <c r="AG20" s="1046"/>
      <c r="AH20" s="1046"/>
      <c r="AI20" s="1046"/>
      <c r="AJ20" s="1046"/>
      <c r="AK20" s="1046"/>
      <c r="AL20" s="1046"/>
      <c r="AM20" s="1046"/>
      <c r="AN20" s="1046"/>
      <c r="AO20" s="1046"/>
      <c r="AP20" s="1046"/>
      <c r="AQ20" s="1046"/>
    </row>
    <row r="21" spans="1:43" s="1648" customFormat="1" ht="17.25" hidden="1" customHeight="1">
      <c r="A21" s="201"/>
      <c r="C21" s="200"/>
      <c r="D21" s="1999"/>
      <c r="E21" s="2001"/>
      <c r="F21" s="2003"/>
      <c r="G21" s="2001"/>
      <c r="H21" s="2006"/>
      <c r="I21" s="2008"/>
      <c r="J21" s="2011"/>
      <c r="K21" s="1997"/>
      <c r="L21" s="1080"/>
      <c r="M21" s="1080"/>
      <c r="N21" s="1080"/>
      <c r="O21" s="1080"/>
      <c r="P21" s="1080"/>
      <c r="Q21" s="1080"/>
      <c r="R21" s="1080"/>
      <c r="S21" s="212"/>
      <c r="T21" s="212"/>
      <c r="U21" s="212"/>
      <c r="V21" s="212"/>
      <c r="W21" s="1081"/>
      <c r="X21" s="1046"/>
      <c r="Y21" s="1046"/>
      <c r="Z21" s="1046"/>
      <c r="AA21" s="1046"/>
      <c r="AB21" s="1046"/>
      <c r="AC21" s="1046"/>
      <c r="AD21" s="1046"/>
      <c r="AE21" s="1046"/>
      <c r="AF21" s="1046"/>
      <c r="AG21" s="1046"/>
      <c r="AH21" s="1046"/>
      <c r="AI21" s="1046"/>
      <c r="AJ21" s="1046"/>
      <c r="AK21" s="1046"/>
      <c r="AL21" s="1046"/>
      <c r="AM21" s="1046"/>
      <c r="AN21" s="1046"/>
      <c r="AO21" s="1046"/>
      <c r="AP21" s="1046"/>
      <c r="AQ21" s="1046"/>
    </row>
    <row r="22" spans="1:43" s="1648" customFormat="1" ht="17.25" hidden="1" customHeight="1">
      <c r="A22" s="201"/>
      <c r="C22" s="200"/>
      <c r="D22" s="1999"/>
      <c r="E22" s="2001"/>
      <c r="F22" s="2004"/>
      <c r="G22" s="2001"/>
      <c r="H22" s="1082"/>
      <c r="I22" s="1083"/>
      <c r="J22" s="1083"/>
      <c r="K22" s="1083"/>
      <c r="L22" s="1083"/>
      <c r="M22" s="1083"/>
      <c r="N22" s="1083"/>
      <c r="O22" s="1083"/>
      <c r="P22" s="1083"/>
      <c r="Q22" s="1083"/>
      <c r="R22" s="1083"/>
      <c r="S22" s="1084"/>
      <c r="T22" s="1084"/>
      <c r="U22" s="1084"/>
      <c r="V22" s="1084"/>
      <c r="W22" s="1085"/>
      <c r="X22" s="1046"/>
      <c r="Y22" s="1046"/>
      <c r="Z22" s="1046"/>
      <c r="AA22" s="1046"/>
      <c r="AB22" s="1046"/>
      <c r="AC22" s="1046"/>
      <c r="AD22" s="1046"/>
      <c r="AE22" s="1046"/>
      <c r="AF22" s="1046"/>
      <c r="AG22" s="1046"/>
      <c r="AH22" s="1046"/>
      <c r="AI22" s="1046"/>
      <c r="AJ22" s="1046"/>
      <c r="AK22" s="1046"/>
      <c r="AL22" s="1046"/>
      <c r="AM22" s="1046"/>
      <c r="AN22" s="1046"/>
      <c r="AO22" s="1046"/>
      <c r="AP22" s="1046"/>
      <c r="AQ22" s="1046"/>
    </row>
    <row r="23" spans="1:43" s="1648" customFormat="1" ht="17.25" hidden="1" customHeight="1">
      <c r="A23" s="201"/>
      <c r="C23" s="109"/>
      <c r="D23" s="1998">
        <v>3</v>
      </c>
      <c r="E23" s="2000" t="s">
        <v>104</v>
      </c>
      <c r="F23" s="2002" t="s">
        <v>15</v>
      </c>
      <c r="G23" s="2000"/>
      <c r="H23" s="2005"/>
      <c r="I23" s="2007"/>
      <c r="J23" s="2009"/>
      <c r="K23" s="1996"/>
      <c r="L23" s="1996"/>
      <c r="M23" s="1996"/>
      <c r="N23" s="2012"/>
      <c r="O23" s="1996"/>
      <c r="P23" s="1996"/>
      <c r="Q23" s="1996"/>
      <c r="R23" s="2015"/>
      <c r="S23" s="1996"/>
      <c r="T23" s="1195"/>
      <c r="U23" s="1195"/>
      <c r="V23" s="1194"/>
      <c r="W23" s="1079"/>
      <c r="X23" s="1050"/>
      <c r="Y23" s="1050"/>
      <c r="Z23" s="1050"/>
      <c r="AA23" s="1050"/>
      <c r="AB23" s="1050"/>
      <c r="AC23" s="1050" t="s">
        <v>105</v>
      </c>
      <c r="AD23" s="1050" t="s">
        <v>106</v>
      </c>
      <c r="AE23" s="1050" t="s">
        <v>107</v>
      </c>
      <c r="AF23" s="1050" t="s">
        <v>108</v>
      </c>
      <c r="AG23" s="1050" t="s">
        <v>109</v>
      </c>
      <c r="AH23" s="1050" t="str">
        <f>IF($E$23=0,"",$E$23)</f>
        <v>Тарифы на теплоноситель, поставляемый теплоснабжающими организациями потребителям, другим теплоснабжающим организациям</v>
      </c>
      <c r="AI23" s="1050" t="str">
        <f>IF($G$23=0,"",$G$23)</f>
        <v/>
      </c>
      <c r="AJ23" s="1050" t="str">
        <f>IF($J$23=0,"",$J$23)</f>
        <v/>
      </c>
      <c r="AK23" s="1050" t="str">
        <f>IF($K$23="нет","без дифференциации",IF($N$23=0,"",$N$23))</f>
        <v/>
      </c>
      <c r="AL23" s="1050" t="str">
        <f>IF($O$23="нет","без дифференциации",IF($R$23=0,"",$R$23))</f>
        <v/>
      </c>
      <c r="AM23" s="1050" t="str">
        <f>IF($S$23="нет","без дифференциации",IF($V$23=0,"",$V$23))</f>
        <v/>
      </c>
      <c r="AN23" s="1507">
        <f>$I$23</f>
        <v>0</v>
      </c>
      <c r="AO23" s="1050" t="str">
        <f>$I$23&amp;"."&amp;$M$23</f>
        <v>.</v>
      </c>
      <c r="AP23" s="1046" t="str">
        <f>$I$23&amp;"."&amp;$M$23&amp;"."&amp;$Q$23</f>
        <v>..</v>
      </c>
      <c r="AQ23" s="1046" t="str">
        <f>$I$23&amp;"."&amp;$M$23&amp;"."&amp;$Q$23&amp;"."&amp;$U$23</f>
        <v>...</v>
      </c>
    </row>
    <row r="24" spans="1:43" s="1648" customFormat="1" ht="17.25" hidden="1" customHeight="1">
      <c r="A24" s="201"/>
      <c r="C24" s="200"/>
      <c r="D24" s="1998"/>
      <c r="E24" s="2000"/>
      <c r="F24" s="2003"/>
      <c r="G24" s="2000"/>
      <c r="H24" s="2006"/>
      <c r="I24" s="2008"/>
      <c r="J24" s="2010"/>
      <c r="K24" s="1997"/>
      <c r="L24" s="1997"/>
      <c r="M24" s="1997"/>
      <c r="N24" s="2013"/>
      <c r="O24" s="1997"/>
      <c r="P24" s="1997"/>
      <c r="Q24" s="1997"/>
      <c r="R24" s="2014"/>
      <c r="S24" s="1997"/>
      <c r="T24" s="1080"/>
      <c r="U24" s="1080"/>
      <c r="V24" s="1080"/>
      <c r="W24" s="1081"/>
      <c r="X24" s="1046"/>
      <c r="Y24" s="1046"/>
      <c r="Z24" s="1046"/>
      <c r="AA24" s="1046"/>
      <c r="AB24" s="1046"/>
      <c r="AC24" s="1046"/>
      <c r="AD24" s="1046"/>
      <c r="AE24" s="1046"/>
      <c r="AF24" s="1046"/>
      <c r="AG24" s="1046"/>
      <c r="AH24" s="1046"/>
      <c r="AI24" s="1046"/>
      <c r="AJ24" s="1046"/>
      <c r="AK24" s="1046"/>
      <c r="AL24" s="1046"/>
      <c r="AM24" s="1046"/>
      <c r="AN24" s="1046"/>
      <c r="AO24" s="1046"/>
      <c r="AP24" s="1046"/>
      <c r="AQ24" s="1046"/>
    </row>
    <row r="25" spans="1:43" s="1648" customFormat="1" ht="17.25" hidden="1" customHeight="1">
      <c r="A25" s="201"/>
      <c r="C25" s="200"/>
      <c r="D25" s="1999"/>
      <c r="E25" s="2001"/>
      <c r="F25" s="2003"/>
      <c r="G25" s="2001"/>
      <c r="H25" s="2006"/>
      <c r="I25" s="2008"/>
      <c r="J25" s="2011"/>
      <c r="K25" s="1997"/>
      <c r="L25" s="1997"/>
      <c r="M25" s="1997"/>
      <c r="N25" s="2014"/>
      <c r="O25" s="1997"/>
      <c r="P25" s="1193"/>
      <c r="Q25" s="1080"/>
      <c r="R25" s="1080"/>
      <c r="S25" s="212"/>
      <c r="T25" s="212"/>
      <c r="U25" s="212"/>
      <c r="V25" s="212"/>
      <c r="W25" s="1081"/>
      <c r="X25" s="1046"/>
      <c r="Y25" s="1046"/>
      <c r="Z25" s="1046"/>
      <c r="AA25" s="1046"/>
      <c r="AB25" s="1046"/>
      <c r="AC25" s="1046"/>
      <c r="AD25" s="1046"/>
      <c r="AE25" s="1046"/>
      <c r="AF25" s="1046"/>
      <c r="AG25" s="1046"/>
      <c r="AH25" s="1046"/>
      <c r="AI25" s="1046"/>
      <c r="AJ25" s="1046"/>
      <c r="AK25" s="1046"/>
      <c r="AL25" s="1046"/>
      <c r="AM25" s="1046"/>
      <c r="AN25" s="1046"/>
      <c r="AO25" s="1046"/>
      <c r="AP25" s="1046"/>
      <c r="AQ25" s="1046"/>
    </row>
    <row r="26" spans="1:43" s="1648" customFormat="1" ht="17.25" hidden="1" customHeight="1">
      <c r="A26" s="201"/>
      <c r="C26" s="200"/>
      <c r="D26" s="1999"/>
      <c r="E26" s="2001"/>
      <c r="F26" s="2003"/>
      <c r="G26" s="2001"/>
      <c r="H26" s="2006"/>
      <c r="I26" s="2008"/>
      <c r="J26" s="2011"/>
      <c r="K26" s="1997"/>
      <c r="L26" s="1080"/>
      <c r="M26" s="1080"/>
      <c r="N26" s="1080"/>
      <c r="O26" s="1080"/>
      <c r="P26" s="1080"/>
      <c r="Q26" s="1080"/>
      <c r="R26" s="1080"/>
      <c r="S26" s="212"/>
      <c r="T26" s="212"/>
      <c r="U26" s="212"/>
      <c r="V26" s="212"/>
      <c r="W26" s="1081"/>
      <c r="X26" s="1046"/>
      <c r="Y26" s="1046"/>
      <c r="Z26" s="1046"/>
      <c r="AA26" s="1046"/>
      <c r="AB26" s="1046"/>
      <c r="AC26" s="1046"/>
      <c r="AD26" s="1046"/>
      <c r="AE26" s="1046"/>
      <c r="AF26" s="1046"/>
      <c r="AG26" s="1046"/>
      <c r="AH26" s="1046"/>
      <c r="AI26" s="1046"/>
      <c r="AJ26" s="1046"/>
      <c r="AK26" s="1046"/>
      <c r="AL26" s="1046"/>
      <c r="AM26" s="1046"/>
      <c r="AN26" s="1046"/>
      <c r="AO26" s="1046"/>
      <c r="AP26" s="1046"/>
      <c r="AQ26" s="1046"/>
    </row>
    <row r="27" spans="1:43" s="1648" customFormat="1" ht="17.25" hidden="1" customHeight="1">
      <c r="A27" s="201"/>
      <c r="C27" s="200"/>
      <c r="D27" s="1999"/>
      <c r="E27" s="2001"/>
      <c r="F27" s="2004"/>
      <c r="G27" s="2001"/>
      <c r="H27" s="1082"/>
      <c r="I27" s="1083"/>
      <c r="J27" s="1083"/>
      <c r="K27" s="1083"/>
      <c r="L27" s="1083"/>
      <c r="M27" s="1083"/>
      <c r="N27" s="1083"/>
      <c r="O27" s="1083"/>
      <c r="P27" s="1083"/>
      <c r="Q27" s="1083"/>
      <c r="R27" s="1083"/>
      <c r="S27" s="1084"/>
      <c r="T27" s="1084"/>
      <c r="U27" s="1084"/>
      <c r="V27" s="1084"/>
      <c r="W27" s="1085"/>
      <c r="X27" s="1046"/>
      <c r="Y27" s="1046"/>
      <c r="Z27" s="1046"/>
      <c r="AA27" s="1046"/>
      <c r="AB27" s="1046"/>
      <c r="AC27" s="1046"/>
      <c r="AD27" s="1046"/>
      <c r="AE27" s="1046"/>
      <c r="AF27" s="1046"/>
      <c r="AG27" s="1046"/>
      <c r="AH27" s="1046"/>
      <c r="AI27" s="1046"/>
      <c r="AJ27" s="1046"/>
      <c r="AK27" s="1046"/>
      <c r="AL27" s="1046"/>
      <c r="AM27" s="1046"/>
      <c r="AN27" s="1046"/>
      <c r="AO27" s="1046"/>
      <c r="AP27" s="1046"/>
      <c r="AQ27" s="1046"/>
    </row>
    <row r="28" spans="1:43" s="1648" customFormat="1" ht="17.25" hidden="1" customHeight="1">
      <c r="A28" s="201"/>
      <c r="C28" s="109"/>
      <c r="D28" s="1998">
        <v>4</v>
      </c>
      <c r="E28" s="2000" t="s">
        <v>110</v>
      </c>
      <c r="F28" s="2002" t="s">
        <v>15</v>
      </c>
      <c r="G28" s="2000"/>
      <c r="H28" s="2005"/>
      <c r="I28" s="2007"/>
      <c r="J28" s="2009"/>
      <c r="K28" s="1996"/>
      <c r="L28" s="1996"/>
      <c r="M28" s="1996"/>
      <c r="N28" s="2012"/>
      <c r="O28" s="1996"/>
      <c r="P28" s="1996"/>
      <c r="Q28" s="1996"/>
      <c r="R28" s="2015"/>
      <c r="S28" s="1996"/>
      <c r="T28" s="1195"/>
      <c r="U28" s="1195"/>
      <c r="V28" s="1194"/>
      <c r="W28" s="1079"/>
      <c r="X28" s="1050"/>
      <c r="Y28" s="1050"/>
      <c r="Z28" s="1050"/>
      <c r="AA28" s="1050"/>
      <c r="AB28" s="1050"/>
      <c r="AC28" s="1050" t="s">
        <v>111</v>
      </c>
      <c r="AD28" s="1050" t="s">
        <v>112</v>
      </c>
      <c r="AE28" s="1050" t="s">
        <v>113</v>
      </c>
      <c r="AF28" s="1050" t="s">
        <v>114</v>
      </c>
      <c r="AG28" s="1050" t="s">
        <v>115</v>
      </c>
      <c r="AH28" s="105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050" t="str">
        <f>IF($G$28=0,"",$G$28)</f>
        <v/>
      </c>
      <c r="AJ28" s="1050" t="str">
        <f>IF($J$28=0,"",$J$28)</f>
        <v/>
      </c>
      <c r="AK28" s="1050" t="str">
        <f>IF($K$28="нет","без дифференциации",IF($N$28=0,"",$N$28))</f>
        <v/>
      </c>
      <c r="AL28" s="1050" t="str">
        <f>IF($O$28="нет","без дифференциации",IF($R$28=0,"",$R$28))</f>
        <v/>
      </c>
      <c r="AM28" s="1050" t="str">
        <f>IF($S$28="нет","без дифференциации",IF($V$28=0,"",$V$28))</f>
        <v/>
      </c>
      <c r="AN28" s="1507">
        <f>$I$28</f>
        <v>0</v>
      </c>
      <c r="AO28" s="1050" t="str">
        <f>$I$28&amp;"."&amp;$M$28</f>
        <v>.</v>
      </c>
      <c r="AP28" s="1046" t="str">
        <f>$I$28&amp;"."&amp;$M$28&amp;"."&amp;$Q$28</f>
        <v>..</v>
      </c>
      <c r="AQ28" s="1046" t="str">
        <f>$I$28&amp;"."&amp;$M$28&amp;"."&amp;$Q$28&amp;"."&amp;$U$28</f>
        <v>...</v>
      </c>
    </row>
    <row r="29" spans="1:43" s="1648" customFormat="1" ht="17.25" hidden="1" customHeight="1">
      <c r="A29" s="201"/>
      <c r="C29" s="200"/>
      <c r="D29" s="1998"/>
      <c r="E29" s="2000"/>
      <c r="F29" s="2003"/>
      <c r="G29" s="2000"/>
      <c r="H29" s="2006"/>
      <c r="I29" s="2008"/>
      <c r="J29" s="2010"/>
      <c r="K29" s="1997"/>
      <c r="L29" s="1997"/>
      <c r="M29" s="1997"/>
      <c r="N29" s="2013"/>
      <c r="O29" s="1997"/>
      <c r="P29" s="1997"/>
      <c r="Q29" s="1997"/>
      <c r="R29" s="2014"/>
      <c r="S29" s="1997"/>
      <c r="T29" s="1080"/>
      <c r="U29" s="1080"/>
      <c r="V29" s="1080"/>
      <c r="W29" s="1081"/>
      <c r="X29" s="1046"/>
      <c r="Y29" s="1046"/>
      <c r="Z29" s="1046"/>
      <c r="AA29" s="1046"/>
      <c r="AB29" s="1046"/>
      <c r="AC29" s="1046"/>
      <c r="AD29" s="1046"/>
      <c r="AE29" s="1046"/>
      <c r="AF29" s="1046"/>
      <c r="AG29" s="1046"/>
      <c r="AH29" s="1046"/>
      <c r="AI29" s="1046"/>
      <c r="AJ29" s="1046"/>
      <c r="AK29" s="1046"/>
      <c r="AL29" s="1046"/>
      <c r="AM29" s="1046"/>
      <c r="AN29" s="1046"/>
      <c r="AO29" s="1046"/>
      <c r="AP29" s="1046"/>
      <c r="AQ29" s="1046"/>
    </row>
    <row r="30" spans="1:43" s="1648" customFormat="1" ht="17.25" hidden="1" customHeight="1">
      <c r="A30" s="201"/>
      <c r="C30" s="200"/>
      <c r="D30" s="1999"/>
      <c r="E30" s="2001"/>
      <c r="F30" s="2003"/>
      <c r="G30" s="2001"/>
      <c r="H30" s="2006"/>
      <c r="I30" s="2008"/>
      <c r="J30" s="2011"/>
      <c r="K30" s="1997"/>
      <c r="L30" s="1997"/>
      <c r="M30" s="1997"/>
      <c r="N30" s="2014"/>
      <c r="O30" s="1997"/>
      <c r="P30" s="1193"/>
      <c r="Q30" s="1080"/>
      <c r="R30" s="1080"/>
      <c r="S30" s="212"/>
      <c r="T30" s="212"/>
      <c r="U30" s="212"/>
      <c r="V30" s="212"/>
      <c r="W30" s="1081"/>
      <c r="X30" s="1046"/>
      <c r="Y30" s="1046"/>
      <c r="Z30" s="1046"/>
      <c r="AA30" s="1046"/>
      <c r="AB30" s="1046"/>
      <c r="AC30" s="1046"/>
      <c r="AD30" s="1046"/>
      <c r="AE30" s="1046"/>
      <c r="AF30" s="1046"/>
      <c r="AG30" s="1046"/>
      <c r="AH30" s="1046"/>
      <c r="AI30" s="1046"/>
      <c r="AJ30" s="1046"/>
      <c r="AK30" s="1046"/>
      <c r="AL30" s="1046"/>
      <c r="AM30" s="1046"/>
      <c r="AN30" s="1046"/>
      <c r="AO30" s="1046"/>
      <c r="AP30" s="1046"/>
      <c r="AQ30" s="1046"/>
    </row>
    <row r="31" spans="1:43" s="1648" customFormat="1" ht="17.25" hidden="1" customHeight="1">
      <c r="A31" s="201"/>
      <c r="C31" s="200"/>
      <c r="D31" s="1999"/>
      <c r="E31" s="2001"/>
      <c r="F31" s="2003"/>
      <c r="G31" s="2001"/>
      <c r="H31" s="2006"/>
      <c r="I31" s="2008"/>
      <c r="J31" s="2011"/>
      <c r="K31" s="1997"/>
      <c r="L31" s="1080"/>
      <c r="M31" s="1080"/>
      <c r="N31" s="1080"/>
      <c r="O31" s="1080"/>
      <c r="P31" s="1080"/>
      <c r="Q31" s="1080"/>
      <c r="R31" s="1080"/>
      <c r="S31" s="212"/>
      <c r="T31" s="212"/>
      <c r="U31" s="212"/>
      <c r="V31" s="212"/>
      <c r="W31" s="1081"/>
      <c r="X31" s="1046"/>
      <c r="Y31" s="1046"/>
      <c r="Z31" s="1046"/>
      <c r="AA31" s="1046"/>
      <c r="AB31" s="1046"/>
      <c r="AC31" s="1046"/>
      <c r="AD31" s="1046"/>
      <c r="AE31" s="1046"/>
      <c r="AF31" s="1046"/>
      <c r="AG31" s="1046"/>
      <c r="AH31" s="1046"/>
      <c r="AI31" s="1046"/>
      <c r="AJ31" s="1046"/>
      <c r="AK31" s="1046"/>
      <c r="AL31" s="1046"/>
      <c r="AM31" s="1046"/>
      <c r="AN31" s="1046"/>
      <c r="AO31" s="1046"/>
      <c r="AP31" s="1046"/>
      <c r="AQ31" s="1046"/>
    </row>
    <row r="32" spans="1:43" s="1648" customFormat="1" ht="17.25" hidden="1" customHeight="1">
      <c r="A32" s="201"/>
      <c r="C32" s="200"/>
      <c r="D32" s="1999"/>
      <c r="E32" s="2001"/>
      <c r="F32" s="2004"/>
      <c r="G32" s="2001"/>
      <c r="H32" s="1082"/>
      <c r="I32" s="1083"/>
      <c r="J32" s="1083"/>
      <c r="K32" s="1083"/>
      <c r="L32" s="1083"/>
      <c r="M32" s="1083"/>
      <c r="N32" s="1083"/>
      <c r="O32" s="1083"/>
      <c r="P32" s="1083"/>
      <c r="Q32" s="1083"/>
      <c r="R32" s="1083"/>
      <c r="S32" s="1084"/>
      <c r="T32" s="1084"/>
      <c r="U32" s="1084"/>
      <c r="V32" s="1084"/>
      <c r="W32" s="1085"/>
      <c r="X32" s="1046"/>
      <c r="Y32" s="1046"/>
      <c r="Z32" s="1046"/>
      <c r="AA32" s="1046"/>
      <c r="AB32" s="1046"/>
      <c r="AC32" s="1046"/>
      <c r="AD32" s="1046"/>
      <c r="AE32" s="1046"/>
      <c r="AF32" s="1046"/>
      <c r="AG32" s="1046"/>
      <c r="AH32" s="1046"/>
      <c r="AI32" s="1046"/>
      <c r="AJ32" s="1046"/>
      <c r="AK32" s="1046"/>
      <c r="AL32" s="1046"/>
      <c r="AM32" s="1046"/>
      <c r="AN32" s="1046"/>
      <c r="AO32" s="1046"/>
      <c r="AP32" s="1046"/>
      <c r="AQ32" s="1046"/>
    </row>
    <row r="33" spans="1:43" s="1648" customFormat="1" ht="17.25" hidden="1" customHeight="1">
      <c r="A33" s="201"/>
      <c r="C33" s="109"/>
      <c r="D33" s="1998">
        <v>5</v>
      </c>
      <c r="E33" s="2000" t="s">
        <v>116</v>
      </c>
      <c r="F33" s="2002" t="s">
        <v>15</v>
      </c>
      <c r="G33" s="2000"/>
      <c r="H33" s="2005"/>
      <c r="I33" s="2007"/>
      <c r="J33" s="2009"/>
      <c r="K33" s="1996"/>
      <c r="L33" s="1996"/>
      <c r="M33" s="1996"/>
      <c r="N33" s="2012"/>
      <c r="O33" s="1996"/>
      <c r="P33" s="1996"/>
      <c r="Q33" s="1996"/>
      <c r="R33" s="2015"/>
      <c r="S33" s="1996"/>
      <c r="T33" s="1195"/>
      <c r="U33" s="1195"/>
      <c r="V33" s="1194"/>
      <c r="W33" s="1079"/>
      <c r="X33" s="1050"/>
      <c r="Y33" s="1050"/>
      <c r="Z33" s="1050"/>
      <c r="AA33" s="1050"/>
      <c r="AB33" s="1050"/>
      <c r="AC33" s="1050" t="s">
        <v>117</v>
      </c>
      <c r="AD33" s="1050" t="s">
        <v>118</v>
      </c>
      <c r="AE33" s="1050" t="s">
        <v>119</v>
      </c>
      <c r="AF33" s="1050" t="s">
        <v>120</v>
      </c>
      <c r="AG33" s="1050" t="s">
        <v>121</v>
      </c>
      <c r="AH33" s="1050" t="str">
        <f>IF($E$33=0,"",$E$33)</f>
        <v>Тарифы на услуги по передаче тепловой энергии</v>
      </c>
      <c r="AI33" s="1050" t="str">
        <f>IF($G$33=0,"",$G$33)</f>
        <v/>
      </c>
      <c r="AJ33" s="1050" t="str">
        <f>IF($J$33=0,"",$J$33)</f>
        <v/>
      </c>
      <c r="AK33" s="1050" t="str">
        <f>IF($K$33="нет","без дифференциации",IF($N$33=0,"",$N$33))</f>
        <v/>
      </c>
      <c r="AL33" s="1050" t="str">
        <f>IF($O$33="нет","без дифференциации",IF($R$33=0,"",$R$33))</f>
        <v/>
      </c>
      <c r="AM33" s="1050" t="str">
        <f>IF($S$33="нет","без дифференциации",IF($V$33=0,"",$V$33))</f>
        <v/>
      </c>
      <c r="AN33" s="1507">
        <f>$I$33</f>
        <v>0</v>
      </c>
      <c r="AO33" s="1050" t="str">
        <f>$I$33&amp;"."&amp;$M$33</f>
        <v>.</v>
      </c>
      <c r="AP33" s="1046" t="str">
        <f>$I$33&amp;"."&amp;$M$33&amp;"."&amp;$Q$33</f>
        <v>..</v>
      </c>
      <c r="AQ33" s="1046" t="str">
        <f>$I$33&amp;"."&amp;$M$33&amp;"."&amp;$Q$33&amp;"."&amp;$U$33</f>
        <v>...</v>
      </c>
    </row>
    <row r="34" spans="1:43" s="1648" customFormat="1" ht="17.25" hidden="1" customHeight="1">
      <c r="A34" s="201"/>
      <c r="C34" s="200"/>
      <c r="D34" s="1998"/>
      <c r="E34" s="2000"/>
      <c r="F34" s="2003"/>
      <c r="G34" s="2000"/>
      <c r="H34" s="2006"/>
      <c r="I34" s="2008"/>
      <c r="J34" s="2010"/>
      <c r="K34" s="1997"/>
      <c r="L34" s="1997"/>
      <c r="M34" s="1997"/>
      <c r="N34" s="2013"/>
      <c r="O34" s="1997"/>
      <c r="P34" s="1997"/>
      <c r="Q34" s="1997"/>
      <c r="R34" s="2014"/>
      <c r="S34" s="1997"/>
      <c r="T34" s="1080"/>
      <c r="U34" s="1080"/>
      <c r="V34" s="1080"/>
      <c r="W34" s="1081"/>
      <c r="X34" s="1046"/>
      <c r="Y34" s="1046"/>
      <c r="Z34" s="1046"/>
      <c r="AA34" s="1046"/>
      <c r="AB34" s="1046"/>
      <c r="AC34" s="1046"/>
      <c r="AD34" s="1046"/>
      <c r="AE34" s="1046"/>
      <c r="AF34" s="1046"/>
      <c r="AG34" s="1046"/>
      <c r="AH34" s="1046"/>
      <c r="AI34" s="1046"/>
      <c r="AJ34" s="1046"/>
      <c r="AK34" s="1046"/>
      <c r="AL34" s="1046"/>
      <c r="AM34" s="1046"/>
      <c r="AN34" s="1046"/>
      <c r="AO34" s="1046"/>
      <c r="AP34" s="1046"/>
      <c r="AQ34" s="1046"/>
    </row>
    <row r="35" spans="1:43" s="1648" customFormat="1" ht="17.25" hidden="1" customHeight="1">
      <c r="A35" s="201"/>
      <c r="C35" s="200"/>
      <c r="D35" s="1999"/>
      <c r="E35" s="2001"/>
      <c r="F35" s="2003"/>
      <c r="G35" s="2001"/>
      <c r="H35" s="2006"/>
      <c r="I35" s="2008"/>
      <c r="J35" s="2011"/>
      <c r="K35" s="1997"/>
      <c r="L35" s="1997"/>
      <c r="M35" s="1997"/>
      <c r="N35" s="2014"/>
      <c r="O35" s="1997"/>
      <c r="P35" s="1193"/>
      <c r="Q35" s="1080"/>
      <c r="R35" s="1080"/>
      <c r="S35" s="212"/>
      <c r="T35" s="212"/>
      <c r="U35" s="212"/>
      <c r="V35" s="212"/>
      <c r="W35" s="1081"/>
      <c r="X35" s="1046"/>
      <c r="Y35" s="1046"/>
      <c r="Z35" s="1046"/>
      <c r="AA35" s="1046"/>
      <c r="AB35" s="1046"/>
      <c r="AC35" s="1046"/>
      <c r="AD35" s="1046"/>
      <c r="AE35" s="1046"/>
      <c r="AF35" s="1046"/>
      <c r="AG35" s="1046"/>
      <c r="AH35" s="1046"/>
      <c r="AI35" s="1046"/>
      <c r="AJ35" s="1046"/>
      <c r="AK35" s="1046"/>
      <c r="AL35" s="1046"/>
      <c r="AM35" s="1046"/>
      <c r="AN35" s="1046"/>
      <c r="AO35" s="1046"/>
      <c r="AP35" s="1046"/>
      <c r="AQ35" s="1046"/>
    </row>
    <row r="36" spans="1:43" s="1648" customFormat="1" ht="17.25" hidden="1" customHeight="1">
      <c r="A36" s="201"/>
      <c r="C36" s="200"/>
      <c r="D36" s="1999"/>
      <c r="E36" s="2001"/>
      <c r="F36" s="2003"/>
      <c r="G36" s="2001"/>
      <c r="H36" s="2006"/>
      <c r="I36" s="2008"/>
      <c r="J36" s="2011"/>
      <c r="K36" s="1997"/>
      <c r="L36" s="1080"/>
      <c r="M36" s="1080"/>
      <c r="N36" s="1080"/>
      <c r="O36" s="1080"/>
      <c r="P36" s="1080"/>
      <c r="Q36" s="1080"/>
      <c r="R36" s="1080"/>
      <c r="S36" s="212"/>
      <c r="T36" s="212"/>
      <c r="U36" s="212"/>
      <c r="V36" s="212"/>
      <c r="W36" s="1081"/>
      <c r="X36" s="1046"/>
      <c r="Y36" s="1046"/>
      <c r="Z36" s="1046"/>
      <c r="AA36" s="1046"/>
      <c r="AB36" s="1046"/>
      <c r="AC36" s="1046"/>
      <c r="AD36" s="1046"/>
      <c r="AE36" s="1046"/>
      <c r="AF36" s="1046"/>
      <c r="AG36" s="1046"/>
      <c r="AH36" s="1046"/>
      <c r="AI36" s="1046"/>
      <c r="AJ36" s="1046"/>
      <c r="AK36" s="1046"/>
      <c r="AL36" s="1046"/>
      <c r="AM36" s="1046"/>
      <c r="AN36" s="1046"/>
      <c r="AO36" s="1046"/>
      <c r="AP36" s="1046"/>
      <c r="AQ36" s="1046"/>
    </row>
    <row r="37" spans="1:43" s="1648" customFormat="1" ht="17.25" hidden="1" customHeight="1">
      <c r="A37" s="201"/>
      <c r="C37" s="200"/>
      <c r="D37" s="1999"/>
      <c r="E37" s="2001"/>
      <c r="F37" s="2004"/>
      <c r="G37" s="2001"/>
      <c r="H37" s="1082"/>
      <c r="I37" s="1083"/>
      <c r="J37" s="1083"/>
      <c r="K37" s="1083"/>
      <c r="L37" s="1083"/>
      <c r="M37" s="1083"/>
      <c r="N37" s="1083"/>
      <c r="O37" s="1083"/>
      <c r="P37" s="1083"/>
      <c r="Q37" s="1083"/>
      <c r="R37" s="1083"/>
      <c r="S37" s="1084"/>
      <c r="T37" s="1084"/>
      <c r="U37" s="1084"/>
      <c r="V37" s="1084"/>
      <c r="W37" s="1085"/>
      <c r="X37" s="1046"/>
      <c r="Y37" s="1046"/>
      <c r="Z37" s="1046"/>
      <c r="AA37" s="1046"/>
      <c r="AB37" s="1046"/>
      <c r="AC37" s="1046"/>
      <c r="AD37" s="1046"/>
      <c r="AE37" s="1046"/>
      <c r="AF37" s="1046"/>
      <c r="AG37" s="1046"/>
      <c r="AH37" s="1046"/>
      <c r="AI37" s="1046"/>
      <c r="AJ37" s="1046"/>
      <c r="AK37" s="1046"/>
      <c r="AL37" s="1046"/>
      <c r="AM37" s="1046"/>
      <c r="AN37" s="1046"/>
      <c r="AO37" s="1046"/>
      <c r="AP37" s="1046"/>
      <c r="AQ37" s="1046"/>
    </row>
    <row r="38" spans="1:43" s="1648" customFormat="1" ht="17.25" hidden="1" customHeight="1">
      <c r="A38" s="201"/>
      <c r="C38" s="109"/>
      <c r="D38" s="1998">
        <v>6</v>
      </c>
      <c r="E38" s="2000" t="s">
        <v>122</v>
      </c>
      <c r="F38" s="2002" t="s">
        <v>15</v>
      </c>
      <c r="G38" s="2000"/>
      <c r="H38" s="2005"/>
      <c r="I38" s="2007"/>
      <c r="J38" s="2009"/>
      <c r="K38" s="1996"/>
      <c r="L38" s="1996"/>
      <c r="M38" s="1996"/>
      <c r="N38" s="2012"/>
      <c r="O38" s="1996"/>
      <c r="P38" s="1996"/>
      <c r="Q38" s="1996"/>
      <c r="R38" s="2015"/>
      <c r="S38" s="1996"/>
      <c r="T38" s="1195"/>
      <c r="U38" s="1195"/>
      <c r="V38" s="1194"/>
      <c r="W38" s="1079"/>
      <c r="X38" s="1050"/>
      <c r="Y38" s="1050"/>
      <c r="Z38" s="1050"/>
      <c r="AA38" s="1050"/>
      <c r="AB38" s="1050"/>
      <c r="AC38" s="1050" t="s">
        <v>123</v>
      </c>
      <c r="AD38" s="1050" t="s">
        <v>124</v>
      </c>
      <c r="AE38" s="1050" t="s">
        <v>125</v>
      </c>
      <c r="AF38" s="1050" t="s">
        <v>126</v>
      </c>
      <c r="AG38" s="1050" t="s">
        <v>127</v>
      </c>
      <c r="AH38" s="1050" t="str">
        <f>IF($E$38=0,"",$E$38)</f>
        <v>Тарифы на услуги по передаче теплоносителя</v>
      </c>
      <c r="AI38" s="1050" t="str">
        <f>IF($G$38=0,"",$G$38)</f>
        <v/>
      </c>
      <c r="AJ38" s="1050" t="str">
        <f>IF($J$38=0,"",$J$38)</f>
        <v/>
      </c>
      <c r="AK38" s="1050" t="str">
        <f>IF($K$38="нет","без дифференциации",IF($N$38=0,"",$N$38))</f>
        <v/>
      </c>
      <c r="AL38" s="1050" t="str">
        <f>IF($O$38="нет","без дифференциации",IF($R$38=0,"",$R$38))</f>
        <v/>
      </c>
      <c r="AM38" s="1050" t="str">
        <f>IF($S$38="нет","без дифференциации",IF($V$38=0,"",$V$38))</f>
        <v/>
      </c>
      <c r="AN38" s="1507">
        <f>$I$38</f>
        <v>0</v>
      </c>
      <c r="AO38" s="1050" t="str">
        <f>$I$38&amp;"."&amp;$M$38</f>
        <v>.</v>
      </c>
      <c r="AP38" s="1046" t="str">
        <f>$I$38&amp;"."&amp;$M$38&amp;"."&amp;$Q$38</f>
        <v>..</v>
      </c>
      <c r="AQ38" s="1046" t="str">
        <f>$I$38&amp;"."&amp;$M$38&amp;"."&amp;$Q$38&amp;"."&amp;$U$38</f>
        <v>...</v>
      </c>
    </row>
    <row r="39" spans="1:43" s="1648" customFormat="1" ht="17.25" hidden="1" customHeight="1">
      <c r="A39" s="201"/>
      <c r="C39" s="200"/>
      <c r="D39" s="1998"/>
      <c r="E39" s="2000"/>
      <c r="F39" s="2003"/>
      <c r="G39" s="2000"/>
      <c r="H39" s="2006"/>
      <c r="I39" s="2008"/>
      <c r="J39" s="2010"/>
      <c r="K39" s="1997"/>
      <c r="L39" s="1997"/>
      <c r="M39" s="1997"/>
      <c r="N39" s="2013"/>
      <c r="O39" s="1997"/>
      <c r="P39" s="1997"/>
      <c r="Q39" s="1997"/>
      <c r="R39" s="2014"/>
      <c r="S39" s="1997"/>
      <c r="T39" s="1080"/>
      <c r="U39" s="1080"/>
      <c r="V39" s="1080"/>
      <c r="W39" s="1081"/>
      <c r="X39" s="1046"/>
      <c r="Y39" s="1046"/>
      <c r="Z39" s="1046"/>
      <c r="AA39" s="1046"/>
      <c r="AB39" s="1046"/>
      <c r="AC39" s="1046"/>
      <c r="AD39" s="1046"/>
      <c r="AE39" s="1046"/>
      <c r="AF39" s="1046"/>
      <c r="AG39" s="1046"/>
      <c r="AH39" s="1046"/>
      <c r="AI39" s="1046"/>
      <c r="AJ39" s="1046"/>
      <c r="AK39" s="1046"/>
      <c r="AL39" s="1046"/>
      <c r="AM39" s="1046"/>
      <c r="AN39" s="1046"/>
      <c r="AO39" s="1046"/>
      <c r="AP39" s="1046"/>
      <c r="AQ39" s="1046"/>
    </row>
    <row r="40" spans="1:43" s="1648" customFormat="1" ht="17.25" hidden="1" customHeight="1">
      <c r="A40" s="201"/>
      <c r="C40" s="200"/>
      <c r="D40" s="1999"/>
      <c r="E40" s="2001"/>
      <c r="F40" s="2003"/>
      <c r="G40" s="2001"/>
      <c r="H40" s="2006"/>
      <c r="I40" s="2008"/>
      <c r="J40" s="2011"/>
      <c r="K40" s="1997"/>
      <c r="L40" s="1997"/>
      <c r="M40" s="1997"/>
      <c r="N40" s="2014"/>
      <c r="O40" s="1997"/>
      <c r="P40" s="1193"/>
      <c r="Q40" s="1080"/>
      <c r="R40" s="1080"/>
      <c r="S40" s="212"/>
      <c r="T40" s="212"/>
      <c r="U40" s="212"/>
      <c r="V40" s="212"/>
      <c r="W40" s="1081"/>
      <c r="X40" s="1046"/>
      <c r="Y40" s="1046"/>
      <c r="Z40" s="1046"/>
      <c r="AA40" s="1046"/>
      <c r="AB40" s="1046"/>
      <c r="AC40" s="1046"/>
      <c r="AD40" s="1046"/>
      <c r="AE40" s="1046"/>
      <c r="AF40" s="1046"/>
      <c r="AG40" s="1046"/>
      <c r="AH40" s="1046"/>
      <c r="AI40" s="1046"/>
      <c r="AJ40" s="1046"/>
      <c r="AK40" s="1046"/>
      <c r="AL40" s="1046"/>
      <c r="AM40" s="1046"/>
      <c r="AN40" s="1046"/>
      <c r="AO40" s="1046"/>
      <c r="AP40" s="1046"/>
      <c r="AQ40" s="1046"/>
    </row>
    <row r="41" spans="1:43" s="1649" customFormat="1" ht="17.25" hidden="1" customHeight="1">
      <c r="A41" s="201"/>
      <c r="C41" s="109"/>
      <c r="D41" s="1999"/>
      <c r="E41" s="2001"/>
      <c r="F41" s="2003"/>
      <c r="G41" s="2001"/>
      <c r="H41" s="2006"/>
      <c r="I41" s="2008"/>
      <c r="J41" s="2011"/>
      <c r="K41" s="1997"/>
      <c r="L41" s="1080"/>
      <c r="M41" s="1080"/>
      <c r="N41" s="1080"/>
      <c r="O41" s="1080"/>
      <c r="P41" s="1080"/>
      <c r="Q41" s="1080"/>
      <c r="R41" s="1080"/>
      <c r="S41" s="212"/>
      <c r="T41" s="212"/>
      <c r="U41" s="212"/>
      <c r="V41" s="212"/>
      <c r="W41" s="1081"/>
      <c r="Y41" s="1050"/>
      <c r="Z41" s="1050"/>
      <c r="AA41" s="1050"/>
      <c r="AB41" s="1050"/>
      <c r="AC41" s="1050"/>
      <c r="AD41" s="1050"/>
      <c r="AE41" s="1050"/>
      <c r="AF41" s="1050"/>
      <c r="AG41" s="1050"/>
      <c r="AH41" s="1050"/>
      <c r="AI41" s="1050"/>
      <c r="AJ41" s="1050"/>
      <c r="AK41" s="1050"/>
      <c r="AL41" s="1050"/>
      <c r="AM41" s="1050"/>
      <c r="AN41" s="1050"/>
      <c r="AO41" s="1050"/>
      <c r="AP41" s="1050"/>
      <c r="AQ41" s="1050"/>
    </row>
    <row r="42" spans="1:43" s="1648" customFormat="1" ht="17.25" hidden="1" customHeight="1">
      <c r="A42" s="201"/>
      <c r="C42" s="200"/>
      <c r="D42" s="1999"/>
      <c r="E42" s="2001"/>
      <c r="F42" s="2004"/>
      <c r="G42" s="2001"/>
      <c r="H42" s="1082"/>
      <c r="I42" s="1083"/>
      <c r="J42" s="1083"/>
      <c r="K42" s="1083"/>
      <c r="L42" s="1083"/>
      <c r="M42" s="1083"/>
      <c r="N42" s="1083"/>
      <c r="O42" s="1083"/>
      <c r="P42" s="1083"/>
      <c r="Q42" s="1083"/>
      <c r="R42" s="1083"/>
      <c r="S42" s="1084"/>
      <c r="T42" s="1084"/>
      <c r="U42" s="1084"/>
      <c r="V42" s="1084"/>
      <c r="W42" s="1085"/>
      <c r="X42" s="1046"/>
      <c r="Y42" s="1046"/>
      <c r="Z42" s="1046"/>
      <c r="AA42" s="1046"/>
      <c r="AB42" s="1046"/>
      <c r="AC42" s="1046"/>
      <c r="AD42" s="1046"/>
      <c r="AE42" s="1046"/>
      <c r="AF42" s="1046"/>
      <c r="AG42" s="1046"/>
      <c r="AH42" s="1046"/>
      <c r="AI42" s="1046"/>
      <c r="AJ42" s="1046"/>
      <c r="AK42" s="1046"/>
      <c r="AL42" s="1046"/>
      <c r="AM42" s="1046"/>
      <c r="AN42" s="1046"/>
      <c r="AO42" s="1046"/>
      <c r="AP42" s="1046"/>
      <c r="AQ42" s="1046"/>
    </row>
    <row r="43" spans="1:43" s="1650" customFormat="1" ht="17.25" hidden="1" customHeight="1">
      <c r="A43" s="201"/>
      <c r="C43" s="109"/>
      <c r="D43" s="2019">
        <v>7</v>
      </c>
      <c r="E43" s="2022" t="s">
        <v>128</v>
      </c>
      <c r="F43" s="2002" t="s">
        <v>15</v>
      </c>
      <c r="G43" s="2022"/>
      <c r="H43" s="2005"/>
      <c r="I43" s="2007"/>
      <c r="J43" s="2009"/>
      <c r="K43" s="1996"/>
      <c r="L43" s="1996"/>
      <c r="M43" s="1996"/>
      <c r="N43" s="2012"/>
      <c r="O43" s="1996"/>
      <c r="P43" s="1996"/>
      <c r="Q43" s="1996"/>
      <c r="R43" s="2015"/>
      <c r="S43" s="1996"/>
      <c r="T43" s="1195"/>
      <c r="U43" s="1195"/>
      <c r="V43" s="1194"/>
      <c r="W43" s="1079"/>
      <c r="X43" s="1050"/>
      <c r="Y43" s="1050"/>
      <c r="Z43" s="1050"/>
      <c r="AA43" s="1050"/>
      <c r="AB43" s="1050"/>
      <c r="AC43" s="1050" t="s">
        <v>129</v>
      </c>
      <c r="AD43" s="1050" t="s">
        <v>130</v>
      </c>
      <c r="AE43" s="1050" t="s">
        <v>131</v>
      </c>
      <c r="AF43" s="1050" t="s">
        <v>132</v>
      </c>
      <c r="AG43" s="1050" t="s">
        <v>133</v>
      </c>
      <c r="AH43" s="1050" t="str">
        <f>IF($E$43=0,"",$E$43)</f>
        <v>Плата за услуги по поддержанию резервной тепловой мощности при отсутствии потребления тепловой энергии</v>
      </c>
      <c r="AI43" s="1050" t="str">
        <f>IF($G$43=0,"",$G$43)</f>
        <v/>
      </c>
      <c r="AJ43" s="1050" t="str">
        <f>IF($J$43=0,"",$J$43)</f>
        <v/>
      </c>
      <c r="AK43" s="1050" t="str">
        <f>IF($K$43="нет","без дифференциации",IF($N$43=0,"",$N$43))</f>
        <v/>
      </c>
      <c r="AL43" s="1050" t="str">
        <f>IF($O$43="нет","без дифференциации",IF($R$43=0,"",$R$43))</f>
        <v/>
      </c>
      <c r="AM43" s="1050" t="str">
        <f>IF($S$43="нет","без дифференциации",IF($V$43=0,"",$V$43))</f>
        <v/>
      </c>
      <c r="AN43" s="1507">
        <f>$I$43</f>
        <v>0</v>
      </c>
      <c r="AO43" s="1050" t="str">
        <f>$I$43&amp;"."&amp;$M$43</f>
        <v>.</v>
      </c>
      <c r="AP43" s="1046" t="str">
        <f>$I$43&amp;"."&amp;$M$43&amp;"."&amp;$Q$43</f>
        <v>..</v>
      </c>
      <c r="AQ43" s="1046" t="str">
        <f>$I$43&amp;"."&amp;$M$43&amp;"."&amp;$Q$43&amp;"."&amp;$U$43</f>
        <v>...</v>
      </c>
    </row>
    <row r="44" spans="1:43" s="1650" customFormat="1" ht="17.25" hidden="1" customHeight="1">
      <c r="A44" s="201"/>
      <c r="C44" s="200"/>
      <c r="D44" s="2020"/>
      <c r="E44" s="2023"/>
      <c r="F44" s="2003"/>
      <c r="G44" s="2023"/>
      <c r="H44" s="2006"/>
      <c r="I44" s="2008"/>
      <c r="J44" s="2010"/>
      <c r="K44" s="1997"/>
      <c r="L44" s="1997"/>
      <c r="M44" s="1997"/>
      <c r="N44" s="2013"/>
      <c r="O44" s="1997"/>
      <c r="P44" s="1997"/>
      <c r="Q44" s="1997"/>
      <c r="R44" s="2014"/>
      <c r="S44" s="1997"/>
      <c r="T44" s="1080"/>
      <c r="U44" s="1080"/>
      <c r="V44" s="1080"/>
      <c r="W44" s="1081"/>
      <c r="X44" s="1046"/>
      <c r="Y44" s="1046"/>
      <c r="Z44" s="1046"/>
      <c r="AA44" s="1046"/>
      <c r="AB44" s="1046"/>
      <c r="AC44" s="1046"/>
      <c r="AD44" s="1046"/>
      <c r="AE44" s="1046"/>
      <c r="AF44" s="1046"/>
      <c r="AG44" s="1046"/>
      <c r="AH44" s="1046"/>
      <c r="AI44" s="1046"/>
      <c r="AJ44" s="1046"/>
      <c r="AK44" s="1046"/>
      <c r="AL44" s="1046"/>
      <c r="AM44" s="1046"/>
      <c r="AN44" s="1046"/>
      <c r="AO44" s="1046"/>
      <c r="AP44" s="1046"/>
      <c r="AQ44" s="1046"/>
    </row>
    <row r="45" spans="1:43" s="1650" customFormat="1" ht="17.25" hidden="1" customHeight="1">
      <c r="A45" s="201"/>
      <c r="C45" s="200"/>
      <c r="D45" s="2020"/>
      <c r="E45" s="2023"/>
      <c r="F45" s="2003"/>
      <c r="G45" s="2023"/>
      <c r="H45" s="2006"/>
      <c r="I45" s="2008"/>
      <c r="J45" s="2011"/>
      <c r="K45" s="1997"/>
      <c r="L45" s="1997"/>
      <c r="M45" s="1997"/>
      <c r="N45" s="2014"/>
      <c r="O45" s="1997"/>
      <c r="P45" s="1193"/>
      <c r="Q45" s="1080"/>
      <c r="R45" s="1080"/>
      <c r="S45" s="212"/>
      <c r="T45" s="212"/>
      <c r="U45" s="212"/>
      <c r="V45" s="212"/>
      <c r="W45" s="1081"/>
      <c r="X45" s="1046"/>
      <c r="Y45" s="1046"/>
      <c r="Z45" s="1046"/>
      <c r="AA45" s="1046"/>
      <c r="AB45" s="1046"/>
      <c r="AC45" s="1046"/>
      <c r="AD45" s="1046"/>
      <c r="AE45" s="1046"/>
      <c r="AF45" s="1046"/>
      <c r="AG45" s="1046"/>
      <c r="AH45" s="1046"/>
      <c r="AI45" s="1046"/>
      <c r="AJ45" s="1046"/>
      <c r="AK45" s="1046"/>
      <c r="AL45" s="1046"/>
      <c r="AM45" s="1046"/>
      <c r="AN45" s="1046"/>
      <c r="AO45" s="1046"/>
      <c r="AP45" s="1046"/>
      <c r="AQ45" s="1046"/>
    </row>
    <row r="46" spans="1:43" s="1649" customFormat="1" ht="17.25" hidden="1" customHeight="1">
      <c r="A46" s="201"/>
      <c r="C46" s="109"/>
      <c r="D46" s="2020"/>
      <c r="E46" s="2023"/>
      <c r="F46" s="2003"/>
      <c r="G46" s="2023"/>
      <c r="H46" s="2006"/>
      <c r="I46" s="2008"/>
      <c r="J46" s="2011"/>
      <c r="K46" s="1997"/>
      <c r="L46" s="1080"/>
      <c r="M46" s="1080"/>
      <c r="N46" s="1080"/>
      <c r="O46" s="1080"/>
      <c r="P46" s="1080"/>
      <c r="Q46" s="1080"/>
      <c r="R46" s="1080"/>
      <c r="S46" s="212"/>
      <c r="T46" s="212"/>
      <c r="U46" s="212"/>
      <c r="V46" s="212"/>
      <c r="W46" s="1081"/>
      <c r="Y46" s="1050"/>
      <c r="Z46" s="1050"/>
      <c r="AA46" s="1050"/>
      <c r="AB46" s="1050"/>
      <c r="AC46" s="1050"/>
      <c r="AD46" s="1050"/>
      <c r="AE46" s="1050"/>
      <c r="AF46" s="1050"/>
      <c r="AG46" s="1050"/>
      <c r="AH46" s="1050"/>
      <c r="AI46" s="1050"/>
      <c r="AJ46" s="1050"/>
      <c r="AK46" s="1050"/>
      <c r="AL46" s="1050"/>
      <c r="AM46" s="1050"/>
      <c r="AN46" s="1050"/>
      <c r="AO46" s="1050"/>
      <c r="AP46" s="1050"/>
      <c r="AQ46" s="1050"/>
    </row>
    <row r="47" spans="1:43" s="1650" customFormat="1" ht="17.25" hidden="1" customHeight="1">
      <c r="A47" s="201"/>
      <c r="C47" s="200"/>
      <c r="D47" s="2021"/>
      <c r="E47" s="2024"/>
      <c r="F47" s="2004"/>
      <c r="G47" s="2024"/>
      <c r="H47" s="1082"/>
      <c r="I47" s="1083"/>
      <c r="J47" s="1083"/>
      <c r="K47" s="1083"/>
      <c r="L47" s="1083"/>
      <c r="M47" s="1083"/>
      <c r="N47" s="1083"/>
      <c r="O47" s="1083"/>
      <c r="P47" s="1083"/>
      <c r="Q47" s="1083"/>
      <c r="R47" s="1083"/>
      <c r="S47" s="1084"/>
      <c r="T47" s="1084"/>
      <c r="U47" s="1084"/>
      <c r="V47" s="1084"/>
      <c r="W47" s="1085"/>
      <c r="X47" s="1046"/>
      <c r="Y47" s="1046"/>
      <c r="Z47" s="1046"/>
      <c r="AA47" s="1046"/>
      <c r="AB47" s="1046"/>
      <c r="AC47" s="1046"/>
      <c r="AD47" s="1046"/>
      <c r="AE47" s="1046"/>
      <c r="AF47" s="1046"/>
      <c r="AG47" s="1046"/>
      <c r="AH47" s="1046"/>
      <c r="AI47" s="1046"/>
      <c r="AJ47" s="1046"/>
      <c r="AK47" s="1046"/>
      <c r="AL47" s="1046"/>
      <c r="AM47" s="1046"/>
      <c r="AN47" s="1046"/>
      <c r="AO47" s="1046"/>
      <c r="AP47" s="1046"/>
      <c r="AQ47" s="1046"/>
    </row>
    <row r="48" spans="1:43" s="1650" customFormat="1" ht="17.25" hidden="1" customHeight="1">
      <c r="A48" s="201"/>
      <c r="C48" s="109"/>
      <c r="D48" s="1998">
        <v>8</v>
      </c>
      <c r="E48" s="2000" t="s">
        <v>134</v>
      </c>
      <c r="F48" s="2002" t="s">
        <v>15</v>
      </c>
      <c r="G48" s="2000"/>
      <c r="H48" s="2005"/>
      <c r="I48" s="2007"/>
      <c r="J48" s="2009"/>
      <c r="K48" s="1996"/>
      <c r="L48" s="1996"/>
      <c r="M48" s="1996"/>
      <c r="N48" s="2012"/>
      <c r="O48" s="1996"/>
      <c r="P48" s="1996"/>
      <c r="Q48" s="1996"/>
      <c r="R48" s="2015"/>
      <c r="S48" s="1996"/>
      <c r="T48" s="1241"/>
      <c r="U48" s="1241"/>
      <c r="V48" s="1243"/>
      <c r="W48" s="1079"/>
      <c r="X48" s="1050"/>
      <c r="Y48" s="1050"/>
      <c r="Z48" s="1050"/>
      <c r="AA48" s="1050"/>
      <c r="AB48" s="1050"/>
      <c r="AC48" s="1050" t="s">
        <v>135</v>
      </c>
      <c r="AD48" s="1050" t="s">
        <v>136</v>
      </c>
      <c r="AE48" s="1050" t="s">
        <v>137</v>
      </c>
      <c r="AF48" s="1050" t="s">
        <v>138</v>
      </c>
      <c r="AG48" s="1050" t="s">
        <v>139</v>
      </c>
      <c r="AH48" s="1050" t="str">
        <f>IF($E$48=0,"",$E$48)</f>
        <v>Плата за подключение (технологическое присоединение) к системе теплоснабжения</v>
      </c>
      <c r="AI48" s="1050" t="str">
        <f>IF($G$48=0,"",$G$48)</f>
        <v/>
      </c>
      <c r="AJ48" s="1050" t="str">
        <f>IF($J$48=0,"",$J$48)</f>
        <v/>
      </c>
      <c r="AK48" s="1050" t="str">
        <f>IF($K$48="нет","без дифференциации",IF($N$48=0,"",$N$48))</f>
        <v/>
      </c>
      <c r="AL48" s="1050" t="str">
        <f>IF($O$48="нет","без дифференциации",IF($R$48=0,"",$R$48))</f>
        <v/>
      </c>
      <c r="AM48" s="1050" t="str">
        <f>IF($S$48="нет","без дифференциации",IF($V$48=0,"",$V$48))</f>
        <v/>
      </c>
      <c r="AN48" s="1507">
        <f>$I$48</f>
        <v>0</v>
      </c>
      <c r="AO48" s="1050" t="str">
        <f>$I$48&amp;"."&amp;$M$48</f>
        <v>.</v>
      </c>
      <c r="AP48" s="1046" t="str">
        <f>$I$48&amp;"."&amp;$M$48&amp;"."&amp;$Q$48</f>
        <v>..</v>
      </c>
      <c r="AQ48" s="1046" t="str">
        <f>$I$48&amp;"."&amp;$M$48&amp;"."&amp;$Q$48&amp;"."&amp;$U$48</f>
        <v>...</v>
      </c>
    </row>
    <row r="49" spans="1:43" s="1650" customFormat="1" ht="17.25" hidden="1" customHeight="1">
      <c r="A49" s="201"/>
      <c r="C49" s="200"/>
      <c r="D49" s="1998"/>
      <c r="E49" s="2000"/>
      <c r="F49" s="2003"/>
      <c r="G49" s="2000"/>
      <c r="H49" s="2006"/>
      <c r="I49" s="2008"/>
      <c r="J49" s="2010"/>
      <c r="K49" s="1997"/>
      <c r="L49" s="1997"/>
      <c r="M49" s="1997"/>
      <c r="N49" s="2013"/>
      <c r="O49" s="1997"/>
      <c r="P49" s="1997"/>
      <c r="Q49" s="1997"/>
      <c r="R49" s="2014"/>
      <c r="S49" s="1997"/>
      <c r="T49" s="1080"/>
      <c r="U49" s="1080"/>
      <c r="V49" s="1080"/>
      <c r="W49" s="1081"/>
      <c r="X49" s="1046"/>
      <c r="Y49" s="1046"/>
      <c r="Z49" s="1046"/>
      <c r="AA49" s="1046"/>
      <c r="AB49" s="1046"/>
      <c r="AC49" s="1046"/>
      <c r="AD49" s="1046"/>
      <c r="AE49" s="1046"/>
      <c r="AF49" s="1046"/>
      <c r="AG49" s="1046"/>
      <c r="AH49" s="1046"/>
      <c r="AI49" s="1046"/>
      <c r="AJ49" s="1046"/>
      <c r="AK49" s="1046"/>
      <c r="AL49" s="1046"/>
      <c r="AM49" s="1046"/>
      <c r="AN49" s="1046"/>
      <c r="AO49" s="1046"/>
      <c r="AP49" s="1046"/>
      <c r="AQ49" s="1046"/>
    </row>
    <row r="50" spans="1:43" s="1650" customFormat="1" ht="17.25" hidden="1" customHeight="1">
      <c r="A50" s="201"/>
      <c r="C50" s="200"/>
      <c r="D50" s="1999"/>
      <c r="E50" s="2001"/>
      <c r="F50" s="2003"/>
      <c r="G50" s="2001"/>
      <c r="H50" s="2006"/>
      <c r="I50" s="2008"/>
      <c r="J50" s="2011"/>
      <c r="K50" s="1997"/>
      <c r="L50" s="1997"/>
      <c r="M50" s="1997"/>
      <c r="N50" s="2014"/>
      <c r="O50" s="1997"/>
      <c r="P50" s="1242"/>
      <c r="Q50" s="1080"/>
      <c r="R50" s="1080"/>
      <c r="S50" s="212"/>
      <c r="T50" s="212"/>
      <c r="U50" s="212"/>
      <c r="V50" s="212"/>
      <c r="W50" s="1081"/>
      <c r="X50" s="1046"/>
      <c r="Y50" s="1046"/>
      <c r="Z50" s="1046"/>
      <c r="AA50" s="1046"/>
      <c r="AB50" s="1046"/>
      <c r="AC50" s="1046"/>
      <c r="AD50" s="1046"/>
      <c r="AE50" s="1046"/>
      <c r="AF50" s="1046"/>
      <c r="AG50" s="1046"/>
      <c r="AH50" s="1046"/>
      <c r="AI50" s="1046"/>
      <c r="AJ50" s="1046"/>
      <c r="AK50" s="1046"/>
      <c r="AL50" s="1046"/>
      <c r="AM50" s="1046"/>
      <c r="AN50" s="1046"/>
      <c r="AO50" s="1046"/>
      <c r="AP50" s="1046"/>
      <c r="AQ50" s="1046"/>
    </row>
    <row r="51" spans="1:43" s="1649" customFormat="1" ht="17.25" hidden="1" customHeight="1">
      <c r="A51" s="201"/>
      <c r="C51" s="109"/>
      <c r="D51" s="1999"/>
      <c r="E51" s="2001"/>
      <c r="F51" s="2003"/>
      <c r="G51" s="2001"/>
      <c r="H51" s="2006"/>
      <c r="I51" s="2008"/>
      <c r="J51" s="2011"/>
      <c r="K51" s="1997"/>
      <c r="L51" s="1080"/>
      <c r="M51" s="1080"/>
      <c r="N51" s="1080"/>
      <c r="O51" s="1080"/>
      <c r="P51" s="1080"/>
      <c r="Q51" s="1080"/>
      <c r="R51" s="1080"/>
      <c r="S51" s="212"/>
      <c r="T51" s="212"/>
      <c r="U51" s="212"/>
      <c r="V51" s="212"/>
      <c r="W51" s="1081"/>
      <c r="Y51" s="1050"/>
      <c r="Z51" s="1050"/>
      <c r="AA51" s="1050"/>
      <c r="AB51" s="1050"/>
      <c r="AC51" s="1050"/>
      <c r="AD51" s="1050"/>
      <c r="AE51" s="1050"/>
      <c r="AF51" s="1050"/>
      <c r="AG51" s="1050"/>
      <c r="AH51" s="1050"/>
      <c r="AI51" s="1050"/>
      <c r="AJ51" s="1050"/>
      <c r="AK51" s="1050"/>
      <c r="AL51" s="1050"/>
      <c r="AM51" s="1050"/>
      <c r="AN51" s="1050"/>
      <c r="AO51" s="1050"/>
      <c r="AP51" s="1050"/>
      <c r="AQ51" s="1050"/>
    </row>
    <row r="52" spans="1:43" s="1650" customFormat="1" ht="17.25" hidden="1" customHeight="1">
      <c r="A52" s="201"/>
      <c r="C52" s="200"/>
      <c r="D52" s="1999"/>
      <c r="E52" s="2001"/>
      <c r="F52" s="2004"/>
      <c r="G52" s="2001"/>
      <c r="H52" s="1082"/>
      <c r="I52" s="1083"/>
      <c r="J52" s="1083"/>
      <c r="K52" s="1083"/>
      <c r="L52" s="1083"/>
      <c r="M52" s="1083"/>
      <c r="N52" s="1083"/>
      <c r="O52" s="1083"/>
      <c r="P52" s="1083"/>
      <c r="Q52" s="1083"/>
      <c r="R52" s="1083"/>
      <c r="S52" s="1084"/>
      <c r="T52" s="1084"/>
      <c r="U52" s="1084"/>
      <c r="V52" s="1084"/>
      <c r="W52" s="1085"/>
      <c r="X52" s="1046"/>
      <c r="Y52" s="1046"/>
      <c r="Z52" s="1046"/>
      <c r="AA52" s="1046"/>
      <c r="AB52" s="1046"/>
      <c r="AC52" s="1046"/>
      <c r="AD52" s="1046"/>
      <c r="AE52" s="1046"/>
      <c r="AF52" s="1046"/>
      <c r="AG52" s="1046"/>
      <c r="AH52" s="1046"/>
      <c r="AI52" s="1046"/>
      <c r="AJ52" s="1046"/>
      <c r="AK52" s="1046"/>
      <c r="AL52" s="1046"/>
      <c r="AM52" s="1046"/>
      <c r="AN52" s="1046"/>
      <c r="AO52" s="1046"/>
      <c r="AP52" s="1046"/>
      <c r="AQ52" s="1046"/>
    </row>
    <row r="53" spans="1:43" ht="11.25" hidden="1" customHeight="1"/>
    <row r="54" spans="1:43" ht="11.25" hidden="1" customHeight="1">
      <c r="E54" s="2018" t="s">
        <v>140</v>
      </c>
      <c r="F54" s="2018"/>
      <c r="G54" s="2018"/>
      <c r="H54" s="2018"/>
      <c r="I54" s="2018"/>
      <c r="J54" s="2018"/>
      <c r="K54" s="2018"/>
      <c r="L54" s="2018"/>
      <c r="M54" s="2018"/>
      <c r="N54" s="2018"/>
      <c r="O54" s="2018"/>
      <c r="P54" s="2018"/>
      <c r="Q54" s="2018"/>
      <c r="R54" s="2018"/>
      <c r="S54" s="2018"/>
      <c r="T54" s="2018"/>
      <c r="U54" s="2018"/>
      <c r="V54" s="2018"/>
      <c r="W54" s="2018"/>
    </row>
    <row r="55" spans="1:43" ht="36.75" hidden="1" customHeight="1">
      <c r="E55" s="2016" t="s">
        <v>141</v>
      </c>
      <c r="F55" s="2016"/>
      <c r="G55" s="2017"/>
      <c r="H55" s="2017"/>
      <c r="I55" s="2017"/>
      <c r="J55" s="2017"/>
      <c r="K55" s="2017"/>
      <c r="L55" s="2017"/>
      <c r="M55" s="2017"/>
      <c r="N55" s="2017"/>
      <c r="O55" s="2017"/>
      <c r="P55" s="2017"/>
      <c r="Q55" s="2017"/>
      <c r="R55" s="2017"/>
      <c r="S55" s="2017"/>
      <c r="T55" s="2017"/>
      <c r="U55" s="2017"/>
      <c r="V55" s="2017"/>
      <c r="W55" s="2017"/>
    </row>
    <row r="56" spans="1:43" ht="28.5" hidden="1" customHeight="1">
      <c r="E56" s="2016" t="s">
        <v>142</v>
      </c>
      <c r="F56" s="2016"/>
      <c r="G56" s="2017"/>
      <c r="H56" s="2017"/>
      <c r="I56" s="2017"/>
      <c r="J56" s="2017"/>
      <c r="K56" s="2017"/>
      <c r="L56" s="2017"/>
      <c r="M56" s="2017"/>
      <c r="N56" s="2017"/>
      <c r="O56" s="2017"/>
      <c r="P56" s="2017"/>
      <c r="Q56" s="2017"/>
      <c r="R56" s="2017"/>
      <c r="S56" s="2017"/>
      <c r="T56" s="2017"/>
      <c r="U56" s="2017"/>
      <c r="V56" s="2017"/>
      <c r="W56" s="2017"/>
    </row>
    <row r="57" spans="1:43" ht="27" hidden="1" customHeight="1">
      <c r="E57" s="2016" t="s">
        <v>143</v>
      </c>
      <c r="F57" s="2016"/>
      <c r="G57" s="2017"/>
      <c r="H57" s="2017"/>
      <c r="I57" s="2017"/>
      <c r="J57" s="2017"/>
      <c r="K57" s="2017"/>
      <c r="L57" s="2017"/>
      <c r="M57" s="2017"/>
      <c r="N57" s="2017"/>
      <c r="O57" s="2017"/>
      <c r="P57" s="2017"/>
      <c r="Q57" s="2017"/>
      <c r="R57" s="2017"/>
      <c r="S57" s="2017"/>
      <c r="T57" s="2017"/>
      <c r="U57" s="2017"/>
      <c r="V57" s="2017"/>
      <c r="W57" s="2017"/>
    </row>
    <row r="58" spans="1:43" ht="17.25" hidden="1" customHeight="1">
      <c r="E58" s="2016" t="s">
        <v>144</v>
      </c>
      <c r="F58" s="2016"/>
      <c r="G58" s="2017"/>
      <c r="H58" s="2017"/>
      <c r="I58" s="2017"/>
      <c r="J58" s="2017"/>
      <c r="K58" s="2017"/>
      <c r="L58" s="2017"/>
      <c r="M58" s="2017"/>
      <c r="N58" s="2017"/>
      <c r="O58" s="2017"/>
      <c r="P58" s="2017"/>
      <c r="Q58" s="2017"/>
      <c r="R58" s="2017"/>
      <c r="S58" s="2017"/>
      <c r="T58" s="2017"/>
      <c r="U58" s="2017"/>
      <c r="V58" s="2017"/>
      <c r="W58" s="2017"/>
    </row>
    <row r="59" spans="1:43" ht="15" hidden="1" customHeight="1">
      <c r="E59" s="223"/>
      <c r="F59" s="1068"/>
      <c r="G59" s="59"/>
      <c r="H59" s="59"/>
      <c r="I59" s="59"/>
      <c r="J59" s="59"/>
      <c r="K59" s="59"/>
      <c r="L59" s="59"/>
      <c r="M59" s="59"/>
      <c r="N59" s="59"/>
      <c r="O59" s="59"/>
      <c r="P59" s="59"/>
      <c r="Q59" s="59"/>
      <c r="R59" s="59"/>
      <c r="S59" s="59"/>
      <c r="T59" s="59"/>
      <c r="U59" s="59"/>
      <c r="V59" s="59"/>
      <c r="W59" s="59"/>
    </row>
    <row r="60" spans="1:43" ht="15" hidden="1" customHeight="1">
      <c r="E60" s="2018" t="s">
        <v>145</v>
      </c>
      <c r="F60" s="2018"/>
      <c r="G60" s="2018"/>
      <c r="H60" s="2018"/>
      <c r="I60" s="2018"/>
      <c r="J60" s="2018"/>
      <c r="K60" s="2018"/>
      <c r="L60" s="2018"/>
      <c r="M60" s="2018"/>
      <c r="N60" s="2018"/>
      <c r="O60" s="2018"/>
      <c r="P60" s="2018"/>
      <c r="Q60" s="2018"/>
      <c r="R60" s="2018"/>
      <c r="S60" s="2018"/>
      <c r="T60" s="2018"/>
      <c r="U60" s="2018"/>
      <c r="V60" s="2018"/>
      <c r="W60" s="2018"/>
    </row>
    <row r="61" spans="1:43" ht="17.25" hidden="1" customHeight="1">
      <c r="E61" s="2016" t="s">
        <v>146</v>
      </c>
      <c r="F61" s="2016"/>
      <c r="G61" s="2017"/>
      <c r="H61" s="2017"/>
      <c r="I61" s="2017"/>
      <c r="J61" s="2017"/>
      <c r="K61" s="2017"/>
      <c r="L61" s="2017"/>
      <c r="M61" s="2017"/>
      <c r="N61" s="2017"/>
      <c r="O61" s="2017"/>
      <c r="P61" s="2017"/>
      <c r="Q61" s="2017"/>
      <c r="R61" s="2017"/>
      <c r="S61" s="2017"/>
      <c r="T61" s="2017"/>
      <c r="U61" s="2017"/>
      <c r="V61" s="2017"/>
      <c r="W61" s="2017"/>
    </row>
    <row r="62" spans="1:43" ht="17.25" hidden="1" customHeight="1">
      <c r="E62" s="2016" t="s">
        <v>147</v>
      </c>
      <c r="F62" s="2016"/>
      <c r="G62" s="2017"/>
      <c r="H62" s="2017"/>
      <c r="I62" s="2017"/>
      <c r="J62" s="2017"/>
      <c r="K62" s="2017"/>
      <c r="L62" s="2017"/>
      <c r="M62" s="2017"/>
      <c r="N62" s="2017"/>
      <c r="O62" s="2017"/>
      <c r="P62" s="2017"/>
      <c r="Q62" s="2017"/>
      <c r="R62" s="2017"/>
      <c r="S62" s="2017"/>
      <c r="T62" s="2017"/>
      <c r="U62" s="2017"/>
      <c r="V62" s="2017"/>
      <c r="W62" s="2017"/>
    </row>
    <row r="63" spans="1:43" s="1651" customFormat="1" ht="11.25" hidden="1" customHeight="1">
      <c r="A63" s="152"/>
      <c r="B63" s="152"/>
      <c r="Y63" s="1046"/>
      <c r="Z63" s="1046"/>
      <c r="AA63" s="1046"/>
      <c r="AB63" s="1046"/>
      <c r="AC63" s="1046"/>
      <c r="AD63" s="1046"/>
      <c r="AE63" s="1046"/>
      <c r="AF63" s="1046"/>
      <c r="AG63" s="1046"/>
      <c r="AH63" s="1046"/>
      <c r="AI63" s="1046"/>
      <c r="AJ63" s="1046"/>
      <c r="AK63" s="1046"/>
      <c r="AL63" s="1046"/>
      <c r="AM63" s="1046"/>
      <c r="AN63" s="1046"/>
      <c r="AO63" s="1046"/>
      <c r="AP63" s="1046"/>
      <c r="AQ63" s="1046"/>
    </row>
    <row r="64" spans="1:43" s="1651" customFormat="1" ht="17.25" hidden="1" customHeight="1">
      <c r="A64" s="201"/>
      <c r="C64" s="109"/>
      <c r="D64" s="1998">
        <v>1</v>
      </c>
      <c r="E64" s="2000" t="s">
        <v>148</v>
      </c>
      <c r="F64" s="2002" t="s">
        <v>15</v>
      </c>
      <c r="G64" s="2000"/>
      <c r="H64" s="2005"/>
      <c r="I64" s="2007"/>
      <c r="J64" s="2009"/>
      <c r="K64" s="1996"/>
      <c r="L64" s="1996"/>
      <c r="M64" s="1996"/>
      <c r="N64" s="2012"/>
      <c r="O64" s="1996"/>
      <c r="P64" s="1996"/>
      <c r="Q64" s="1996"/>
      <c r="R64" s="2015"/>
      <c r="S64" s="1996"/>
      <c r="T64" s="1241"/>
      <c r="U64" s="1241"/>
      <c r="V64" s="1243"/>
      <c r="W64" s="1079"/>
      <c r="Y64" s="1050"/>
      <c r="Z64" s="1050"/>
      <c r="AA64" s="1050"/>
      <c r="AB64" s="1050"/>
      <c r="AC64" s="1050" t="s">
        <v>149</v>
      </c>
      <c r="AD64" s="1050" t="s">
        <v>150</v>
      </c>
      <c r="AE64" s="1050" t="s">
        <v>151</v>
      </c>
      <c r="AF64" s="1050" t="s">
        <v>152</v>
      </c>
      <c r="AG64" s="1050"/>
      <c r="AH64" s="1050" t="str">
        <f>IF($E$64=0,"",$E$64)</f>
        <v>Тариф на питьевую воду (питьевое водоснабжение)</v>
      </c>
      <c r="AI64" s="1050" t="str">
        <f>IF($G$64=0,"",$G$64)</f>
        <v/>
      </c>
      <c r="AJ64" s="1050" t="str">
        <f>IF($J$64=0,"",$J$64)</f>
        <v/>
      </c>
      <c r="AK64" s="1050" t="str">
        <f>IF($K$64="нет","без дифференциации",IF($N$64=0,"",$N$64))</f>
        <v/>
      </c>
      <c r="AL64" s="1050" t="str">
        <f>IF($O$64="нет","без дифференциации",IF($R$64=0,"",$R$64))</f>
        <v/>
      </c>
      <c r="AM64" s="1050" t="str">
        <f>IF($S$64="нет","без дифференциации",IF($V$64=0,"",$V$64))</f>
        <v/>
      </c>
      <c r="AN64" s="1050">
        <f>$I$64</f>
        <v>0</v>
      </c>
      <c r="AO64" s="1050" t="str">
        <f>$I$64&amp;"."&amp;$M$64</f>
        <v>.</v>
      </c>
      <c r="AP64" s="1050" t="str">
        <f>$I$64&amp;"."&amp;$M$64&amp;"."&amp;$Q$64</f>
        <v>..</v>
      </c>
      <c r="AQ64" s="1050" t="str">
        <f>$I$64&amp;"."&amp;$M$64&amp;"."&amp;$Q$64&amp;"."&amp;$U$64</f>
        <v>...</v>
      </c>
    </row>
    <row r="65" spans="1:43" s="1651" customFormat="1" ht="17.25" hidden="1" customHeight="1">
      <c r="A65" s="201"/>
      <c r="C65" s="200"/>
      <c r="D65" s="1998"/>
      <c r="E65" s="2000"/>
      <c r="F65" s="2003"/>
      <c r="G65" s="2000"/>
      <c r="H65" s="2006"/>
      <c r="I65" s="2008"/>
      <c r="J65" s="2010"/>
      <c r="K65" s="1997"/>
      <c r="L65" s="1997"/>
      <c r="M65" s="1997"/>
      <c r="N65" s="2013"/>
      <c r="O65" s="1997"/>
      <c r="P65" s="1997"/>
      <c r="Q65" s="1997"/>
      <c r="R65" s="2014"/>
      <c r="S65" s="1997"/>
      <c r="T65" s="1080"/>
      <c r="U65" s="1080"/>
      <c r="V65" s="1080"/>
      <c r="W65" s="1081"/>
      <c r="Y65" s="1046"/>
      <c r="Z65" s="1046"/>
      <c r="AA65" s="1046"/>
      <c r="AB65" s="1046"/>
      <c r="AC65" s="1046"/>
      <c r="AD65" s="1046"/>
      <c r="AE65" s="1046"/>
      <c r="AF65" s="1046"/>
      <c r="AG65" s="1046"/>
      <c r="AH65" s="1046"/>
      <c r="AI65" s="1046"/>
      <c r="AJ65" s="1046"/>
      <c r="AK65" s="1046"/>
      <c r="AL65" s="1046"/>
      <c r="AM65" s="1046"/>
      <c r="AN65" s="1046"/>
      <c r="AO65" s="1046"/>
      <c r="AP65" s="1046"/>
      <c r="AQ65" s="1046"/>
    </row>
    <row r="66" spans="1:43" s="1652" customFormat="1" ht="17.25" hidden="1" customHeight="1">
      <c r="A66" s="201"/>
      <c r="C66" s="109"/>
      <c r="D66" s="1998"/>
      <c r="E66" s="2000"/>
      <c r="F66" s="2003"/>
      <c r="G66" s="2000"/>
      <c r="H66" s="2006"/>
      <c r="I66" s="2008"/>
      <c r="J66" s="2011"/>
      <c r="K66" s="1997"/>
      <c r="L66" s="1997"/>
      <c r="M66" s="1997"/>
      <c r="N66" s="2014"/>
      <c r="O66" s="1997"/>
      <c r="P66" s="1242"/>
      <c r="Q66" s="1080"/>
      <c r="R66" s="1080"/>
      <c r="S66" s="212"/>
      <c r="T66" s="212"/>
      <c r="U66" s="212"/>
      <c r="V66" s="212"/>
      <c r="W66" s="1081"/>
      <c r="Y66" s="1050"/>
      <c r="Z66" s="1050"/>
      <c r="AA66" s="1050"/>
      <c r="AB66" s="1050"/>
      <c r="AC66" s="1050"/>
      <c r="AD66" s="1050"/>
      <c r="AE66" s="1050"/>
      <c r="AF66" s="1050"/>
      <c r="AG66" s="1050"/>
      <c r="AH66" s="1050"/>
      <c r="AI66" s="1050"/>
      <c r="AJ66" s="1050"/>
      <c r="AK66" s="1050"/>
      <c r="AL66" s="1050"/>
      <c r="AM66" s="1050"/>
      <c r="AN66" s="1050"/>
      <c r="AO66" s="1050"/>
      <c r="AP66" s="1050"/>
      <c r="AQ66" s="1050"/>
    </row>
    <row r="67" spans="1:43" s="1652" customFormat="1" ht="17.25" hidden="1" customHeight="1">
      <c r="A67" s="201"/>
      <c r="C67" s="200"/>
      <c r="D67" s="1998"/>
      <c r="E67" s="2000"/>
      <c r="F67" s="2003"/>
      <c r="G67" s="2000"/>
      <c r="H67" s="2006"/>
      <c r="I67" s="2008"/>
      <c r="J67" s="2011"/>
      <c r="K67" s="1997"/>
      <c r="L67" s="1080"/>
      <c r="M67" s="1080"/>
      <c r="N67" s="1080"/>
      <c r="O67" s="1080"/>
      <c r="P67" s="1080"/>
      <c r="Q67" s="1080"/>
      <c r="R67" s="1080"/>
      <c r="S67" s="212"/>
      <c r="T67" s="212"/>
      <c r="U67" s="212"/>
      <c r="V67" s="212"/>
      <c r="W67" s="1081"/>
      <c r="Y67" s="1046"/>
      <c r="Z67" s="1046"/>
      <c r="AA67" s="1046"/>
      <c r="AB67" s="1046"/>
      <c r="AC67" s="1046"/>
      <c r="AD67" s="1046"/>
      <c r="AE67" s="1046"/>
      <c r="AF67" s="1046"/>
      <c r="AG67" s="1046"/>
      <c r="AH67" s="1046"/>
      <c r="AI67" s="1046"/>
      <c r="AJ67" s="1046"/>
      <c r="AK67" s="1046"/>
      <c r="AL67" s="1046"/>
      <c r="AM67" s="1046"/>
      <c r="AN67" s="1046"/>
      <c r="AO67" s="1046"/>
      <c r="AP67" s="1046"/>
      <c r="AQ67" s="1046"/>
    </row>
    <row r="68" spans="1:43" s="1651" customFormat="1" ht="17.25" hidden="1" customHeight="1">
      <c r="A68" s="201"/>
      <c r="C68" s="200"/>
      <c r="D68" s="1999"/>
      <c r="E68" s="2001"/>
      <c r="F68" s="2004"/>
      <c r="G68" s="2001"/>
      <c r="H68" s="1082"/>
      <c r="I68" s="1083"/>
      <c r="J68" s="1083"/>
      <c r="K68" s="1083"/>
      <c r="L68" s="1083"/>
      <c r="M68" s="1083"/>
      <c r="N68" s="1083"/>
      <c r="O68" s="1083"/>
      <c r="P68" s="1083"/>
      <c r="Q68" s="1083"/>
      <c r="R68" s="1083"/>
      <c r="S68" s="1084"/>
      <c r="T68" s="1084"/>
      <c r="U68" s="1084"/>
      <c r="V68" s="1084"/>
      <c r="W68" s="1085"/>
      <c r="Y68" s="1046"/>
      <c r="Z68" s="1046"/>
      <c r="AA68" s="1046"/>
      <c r="AB68" s="1046"/>
      <c r="AC68" s="1046"/>
      <c r="AD68" s="1046"/>
      <c r="AE68" s="1046"/>
      <c r="AF68" s="1046"/>
      <c r="AG68" s="1046"/>
      <c r="AH68" s="1046"/>
      <c r="AI68" s="1046"/>
      <c r="AJ68" s="1046"/>
      <c r="AK68" s="1046"/>
      <c r="AL68" s="1046"/>
      <c r="AM68" s="1046"/>
      <c r="AN68" s="1046"/>
      <c r="AO68" s="1046"/>
      <c r="AP68" s="1046"/>
      <c r="AQ68" s="1046"/>
    </row>
    <row r="69" spans="1:43" s="1651" customFormat="1" ht="17.25" hidden="1" customHeight="1">
      <c r="A69" s="201"/>
      <c r="C69" s="109"/>
      <c r="D69" s="1998">
        <v>2</v>
      </c>
      <c r="E69" s="2000" t="s">
        <v>153</v>
      </c>
      <c r="F69" s="2002" t="s">
        <v>15</v>
      </c>
      <c r="G69" s="2000"/>
      <c r="H69" s="2005"/>
      <c r="I69" s="2007"/>
      <c r="J69" s="2009"/>
      <c r="K69" s="1996"/>
      <c r="L69" s="1996"/>
      <c r="M69" s="1996"/>
      <c r="N69" s="2012"/>
      <c r="O69" s="1996"/>
      <c r="P69" s="1996"/>
      <c r="Q69" s="1996"/>
      <c r="R69" s="2015"/>
      <c r="S69" s="1996"/>
      <c r="T69" s="1217"/>
      <c r="U69" s="1217"/>
      <c r="V69" s="1219"/>
      <c r="W69" s="1079"/>
      <c r="X69" s="1050"/>
      <c r="Y69" s="1050"/>
      <c r="Z69" s="1050"/>
      <c r="AA69" s="1050"/>
      <c r="AB69" s="1050"/>
      <c r="AC69" s="1050" t="s">
        <v>154</v>
      </c>
      <c r="AD69" s="1050" t="s">
        <v>155</v>
      </c>
      <c r="AE69" s="1050" t="s">
        <v>156</v>
      </c>
      <c r="AF69" s="1050" t="s">
        <v>157</v>
      </c>
      <c r="AG69" s="1050"/>
      <c r="AH69" s="1050" t="str">
        <f>IF($E$69=0,"",$E$69)</f>
        <v>Тариф на техническую воду</v>
      </c>
      <c r="AI69" s="1050" t="str">
        <f>IF($G$69=0,"",$G$69)</f>
        <v/>
      </c>
      <c r="AJ69" s="1050" t="str">
        <f>IF($J$69=0,"",$J$69)</f>
        <v/>
      </c>
      <c r="AK69" s="1050" t="str">
        <f>IF($K$69="нет","без дифференциации",IF($N$69=0,"",$N$69))</f>
        <v/>
      </c>
      <c r="AL69" s="1050" t="str">
        <f>IF($O$69="нет","без дифференциации",IF($R$69=0,"",$R$69))</f>
        <v/>
      </c>
      <c r="AM69" s="1050" t="str">
        <f>IF($S$69="нет","без дифференциации",IF($V$69=0,"",$V$69))</f>
        <v/>
      </c>
      <c r="AN69" s="1507">
        <f>$I$69</f>
        <v>0</v>
      </c>
      <c r="AO69" s="1050" t="str">
        <f>$I$69&amp;"."&amp;$M$69</f>
        <v>.</v>
      </c>
      <c r="AP69" s="1046" t="str">
        <f>$I$69&amp;"."&amp;$M$69&amp;"."&amp;$Q$69</f>
        <v>..</v>
      </c>
      <c r="AQ69" s="1046" t="str">
        <f>$I$69&amp;"."&amp;$M$69&amp;"."&amp;$Q$69&amp;"."&amp;$U$69</f>
        <v>...</v>
      </c>
    </row>
    <row r="70" spans="1:43" s="1651" customFormat="1" ht="17.25" hidden="1" customHeight="1">
      <c r="A70" s="201"/>
      <c r="C70" s="200"/>
      <c r="D70" s="1998"/>
      <c r="E70" s="2000"/>
      <c r="F70" s="2003"/>
      <c r="G70" s="2000"/>
      <c r="H70" s="2006"/>
      <c r="I70" s="2008"/>
      <c r="J70" s="2010"/>
      <c r="K70" s="1997"/>
      <c r="L70" s="1997"/>
      <c r="M70" s="1997"/>
      <c r="N70" s="2013"/>
      <c r="O70" s="1997"/>
      <c r="P70" s="1997"/>
      <c r="Q70" s="1997"/>
      <c r="R70" s="2014"/>
      <c r="S70" s="1997"/>
      <c r="T70" s="1080"/>
      <c r="U70" s="1080"/>
      <c r="V70" s="1080"/>
      <c r="W70" s="1081"/>
      <c r="X70" s="1046"/>
      <c r="Y70" s="1046"/>
      <c r="Z70" s="1046"/>
      <c r="AA70" s="1046"/>
      <c r="AB70" s="1046"/>
      <c r="AC70" s="1046"/>
      <c r="AD70" s="1046"/>
      <c r="AE70" s="1046"/>
      <c r="AF70" s="1046"/>
      <c r="AG70" s="1046"/>
      <c r="AH70" s="1046"/>
      <c r="AI70" s="1046"/>
      <c r="AJ70" s="1046"/>
      <c r="AK70" s="1046"/>
      <c r="AL70" s="1046"/>
      <c r="AM70" s="1046"/>
      <c r="AN70" s="1046"/>
      <c r="AO70" s="1046"/>
      <c r="AP70" s="1046"/>
      <c r="AQ70" s="1046"/>
    </row>
    <row r="71" spans="1:43" s="1651" customFormat="1" ht="17.25" hidden="1" customHeight="1">
      <c r="A71" s="201"/>
      <c r="C71" s="200"/>
      <c r="D71" s="1999"/>
      <c r="E71" s="2001"/>
      <c r="F71" s="2003"/>
      <c r="G71" s="2001"/>
      <c r="H71" s="2006"/>
      <c r="I71" s="2008"/>
      <c r="J71" s="2011"/>
      <c r="K71" s="1997"/>
      <c r="L71" s="1997"/>
      <c r="M71" s="1997"/>
      <c r="N71" s="2014"/>
      <c r="O71" s="1997"/>
      <c r="P71" s="1218"/>
      <c r="Q71" s="1080"/>
      <c r="R71" s="1080"/>
      <c r="S71" s="212"/>
      <c r="T71" s="212"/>
      <c r="U71" s="212"/>
      <c r="V71" s="212"/>
      <c r="W71" s="1081"/>
      <c r="X71" s="1046"/>
      <c r="Y71" s="1046"/>
      <c r="Z71" s="1046"/>
      <c r="AA71" s="1046"/>
      <c r="AB71" s="1046"/>
      <c r="AC71" s="1046"/>
      <c r="AD71" s="1046"/>
      <c r="AE71" s="1046"/>
      <c r="AF71" s="1046"/>
      <c r="AG71" s="1046"/>
      <c r="AH71" s="1046"/>
      <c r="AI71" s="1046"/>
      <c r="AJ71" s="1046"/>
      <c r="AK71" s="1046"/>
      <c r="AL71" s="1046"/>
      <c r="AM71" s="1046"/>
      <c r="AN71" s="1046"/>
      <c r="AO71" s="1046"/>
      <c r="AP71" s="1046"/>
      <c r="AQ71" s="1046"/>
    </row>
    <row r="72" spans="1:43" s="1651" customFormat="1" ht="17.25" hidden="1" customHeight="1">
      <c r="A72" s="201"/>
      <c r="C72" s="200"/>
      <c r="D72" s="1999"/>
      <c r="E72" s="2001"/>
      <c r="F72" s="2003"/>
      <c r="G72" s="2001"/>
      <c r="H72" s="2006"/>
      <c r="I72" s="2008"/>
      <c r="J72" s="2011"/>
      <c r="K72" s="1997"/>
      <c r="L72" s="1080"/>
      <c r="M72" s="1080"/>
      <c r="N72" s="1080"/>
      <c r="O72" s="1080"/>
      <c r="P72" s="1080"/>
      <c r="Q72" s="1080"/>
      <c r="R72" s="1080"/>
      <c r="S72" s="212"/>
      <c r="T72" s="212"/>
      <c r="U72" s="212"/>
      <c r="V72" s="212"/>
      <c r="W72" s="1081"/>
      <c r="X72" s="1046"/>
      <c r="Y72" s="1046"/>
      <c r="Z72" s="1046"/>
      <c r="AA72" s="1046"/>
      <c r="AB72" s="1046"/>
      <c r="AC72" s="1046"/>
      <c r="AD72" s="1046"/>
      <c r="AE72" s="1046"/>
      <c r="AF72" s="1046"/>
      <c r="AG72" s="1046"/>
      <c r="AH72" s="1046"/>
      <c r="AI72" s="1046"/>
      <c r="AJ72" s="1046"/>
      <c r="AK72" s="1046"/>
      <c r="AL72" s="1046"/>
      <c r="AM72" s="1046"/>
      <c r="AN72" s="1046"/>
      <c r="AO72" s="1046"/>
      <c r="AP72" s="1046"/>
      <c r="AQ72" s="1046"/>
    </row>
    <row r="73" spans="1:43" s="1651" customFormat="1" ht="17.25" hidden="1" customHeight="1">
      <c r="A73" s="201"/>
      <c r="C73" s="200"/>
      <c r="D73" s="1999"/>
      <c r="E73" s="2001"/>
      <c r="F73" s="2004"/>
      <c r="G73" s="2001"/>
      <c r="H73" s="1082"/>
      <c r="I73" s="1083"/>
      <c r="J73" s="1083"/>
      <c r="K73" s="1083"/>
      <c r="L73" s="1083"/>
      <c r="M73" s="1083"/>
      <c r="N73" s="1083"/>
      <c r="O73" s="1083"/>
      <c r="P73" s="1083"/>
      <c r="Q73" s="1083"/>
      <c r="R73" s="1083"/>
      <c r="S73" s="1084"/>
      <c r="T73" s="1084"/>
      <c r="U73" s="1084"/>
      <c r="V73" s="1084"/>
      <c r="W73" s="1085"/>
      <c r="X73" s="1046"/>
      <c r="Y73" s="1046"/>
      <c r="Z73" s="1046"/>
      <c r="AA73" s="1046"/>
      <c r="AB73" s="1046"/>
      <c r="AC73" s="1046"/>
      <c r="AD73" s="1046"/>
      <c r="AE73" s="1046"/>
      <c r="AF73" s="1046"/>
      <c r="AG73" s="1046"/>
      <c r="AH73" s="1046"/>
      <c r="AI73" s="1046"/>
      <c r="AJ73" s="1046"/>
      <c r="AK73" s="1046"/>
      <c r="AL73" s="1046"/>
      <c r="AM73" s="1046"/>
      <c r="AN73" s="1046"/>
      <c r="AO73" s="1046"/>
      <c r="AP73" s="1046"/>
      <c r="AQ73" s="1046"/>
    </row>
    <row r="74" spans="1:43" s="1651" customFormat="1" ht="17.25" hidden="1" customHeight="1">
      <c r="A74" s="201"/>
      <c r="C74" s="109"/>
      <c r="D74" s="1998">
        <v>3</v>
      </c>
      <c r="E74" s="2000" t="s">
        <v>158</v>
      </c>
      <c r="F74" s="2002" t="s">
        <v>15</v>
      </c>
      <c r="G74" s="2000"/>
      <c r="H74" s="2005"/>
      <c r="I74" s="2007"/>
      <c r="J74" s="2009"/>
      <c r="K74" s="1996"/>
      <c r="L74" s="1996"/>
      <c r="M74" s="1996"/>
      <c r="N74" s="2012"/>
      <c r="O74" s="1996"/>
      <c r="P74" s="1996"/>
      <c r="Q74" s="1996"/>
      <c r="R74" s="2015"/>
      <c r="S74" s="1996"/>
      <c r="T74" s="1217"/>
      <c r="U74" s="1217"/>
      <c r="V74" s="1219"/>
      <c r="W74" s="1079"/>
      <c r="X74" s="1050"/>
      <c r="Y74" s="1050"/>
      <c r="Z74" s="1050"/>
      <c r="AA74" s="1050"/>
      <c r="AB74" s="1050"/>
      <c r="AC74" s="1050" t="s">
        <v>159</v>
      </c>
      <c r="AD74" s="1050" t="s">
        <v>160</v>
      </c>
      <c r="AE74" s="1050" t="s">
        <v>161</v>
      </c>
      <c r="AF74" s="1050" t="s">
        <v>162</v>
      </c>
      <c r="AG74" s="1050"/>
      <c r="AH74" s="1050" t="str">
        <f>IF($E$74=0,"",$E$74)</f>
        <v>Тариф на транспортировку воды</v>
      </c>
      <c r="AI74" s="1050" t="str">
        <f>IF($G$74=0,"",$G$74)</f>
        <v/>
      </c>
      <c r="AJ74" s="1050" t="str">
        <f>IF($J$74=0,"",$J$74)</f>
        <v/>
      </c>
      <c r="AK74" s="1050" t="str">
        <f>IF($K$74="нет","без дифференциации",IF($N$74=0,"",$N$74))</f>
        <v/>
      </c>
      <c r="AL74" s="1050" t="str">
        <f>IF($O$74="нет","без дифференциации",IF($R$74=0,"",$R$74))</f>
        <v/>
      </c>
      <c r="AM74" s="1050" t="str">
        <f>IF($S$74="нет","без дифференциации",IF($V$74=0,"",$V$74))</f>
        <v/>
      </c>
      <c r="AN74" s="1507">
        <f>$I$74</f>
        <v>0</v>
      </c>
      <c r="AO74" s="1050" t="str">
        <f>$I$74&amp;"."&amp;$M$74</f>
        <v>.</v>
      </c>
      <c r="AP74" s="1046" t="str">
        <f>$I$74&amp;"."&amp;$M$74&amp;"."&amp;$Q$74</f>
        <v>..</v>
      </c>
      <c r="AQ74" s="1046" t="str">
        <f>$I$74&amp;"."&amp;$M$74&amp;"."&amp;$Q$74&amp;"."&amp;$U$74</f>
        <v>...</v>
      </c>
    </row>
    <row r="75" spans="1:43" s="1651" customFormat="1" ht="17.25" hidden="1" customHeight="1">
      <c r="A75" s="201"/>
      <c r="C75" s="200"/>
      <c r="D75" s="1998"/>
      <c r="E75" s="2000"/>
      <c r="F75" s="2003"/>
      <c r="G75" s="2000"/>
      <c r="H75" s="2006"/>
      <c r="I75" s="2008"/>
      <c r="J75" s="2010"/>
      <c r="K75" s="1997"/>
      <c r="L75" s="1997"/>
      <c r="M75" s="1997"/>
      <c r="N75" s="2013"/>
      <c r="O75" s="1997"/>
      <c r="P75" s="1997"/>
      <c r="Q75" s="1997"/>
      <c r="R75" s="2014"/>
      <c r="S75" s="1997"/>
      <c r="T75" s="1080"/>
      <c r="U75" s="1080"/>
      <c r="V75" s="1080"/>
      <c r="W75" s="1081"/>
      <c r="X75" s="1046"/>
      <c r="Y75" s="1046"/>
      <c r="Z75" s="1046"/>
      <c r="AA75" s="1046"/>
      <c r="AB75" s="1046"/>
      <c r="AC75" s="1046"/>
      <c r="AD75" s="1046"/>
      <c r="AE75" s="1046"/>
      <c r="AF75" s="1046"/>
      <c r="AG75" s="1046"/>
      <c r="AH75" s="1046"/>
      <c r="AI75" s="1046"/>
      <c r="AJ75" s="1046"/>
      <c r="AK75" s="1046"/>
      <c r="AL75" s="1046"/>
      <c r="AM75" s="1046"/>
      <c r="AN75" s="1046"/>
      <c r="AO75" s="1046"/>
      <c r="AP75" s="1046"/>
      <c r="AQ75" s="1046"/>
    </row>
    <row r="76" spans="1:43" s="1651" customFormat="1" ht="17.25" hidden="1" customHeight="1">
      <c r="A76" s="201"/>
      <c r="C76" s="200"/>
      <c r="D76" s="1999"/>
      <c r="E76" s="2001"/>
      <c r="F76" s="2003"/>
      <c r="G76" s="2001"/>
      <c r="H76" s="2006"/>
      <c r="I76" s="2008"/>
      <c r="J76" s="2011"/>
      <c r="K76" s="1997"/>
      <c r="L76" s="1997"/>
      <c r="M76" s="1997"/>
      <c r="N76" s="2014"/>
      <c r="O76" s="1997"/>
      <c r="P76" s="1218"/>
      <c r="Q76" s="1080"/>
      <c r="R76" s="1080"/>
      <c r="S76" s="212"/>
      <c r="T76" s="212"/>
      <c r="U76" s="212"/>
      <c r="V76" s="212"/>
      <c r="W76" s="1081"/>
      <c r="X76" s="1046"/>
      <c r="Y76" s="1046"/>
      <c r="Z76" s="1046"/>
      <c r="AA76" s="1046"/>
      <c r="AB76" s="1046"/>
      <c r="AC76" s="1046"/>
      <c r="AD76" s="1046"/>
      <c r="AE76" s="1046"/>
      <c r="AF76" s="1046"/>
      <c r="AG76" s="1046"/>
      <c r="AH76" s="1046"/>
      <c r="AI76" s="1046"/>
      <c r="AJ76" s="1046"/>
      <c r="AK76" s="1046"/>
      <c r="AL76" s="1046"/>
      <c r="AM76" s="1046"/>
      <c r="AN76" s="1046"/>
      <c r="AO76" s="1046"/>
      <c r="AP76" s="1046"/>
      <c r="AQ76" s="1046"/>
    </row>
    <row r="77" spans="1:43" s="1651" customFormat="1" ht="17.25" hidden="1" customHeight="1">
      <c r="A77" s="201"/>
      <c r="C77" s="200"/>
      <c r="D77" s="1999"/>
      <c r="E77" s="2001"/>
      <c r="F77" s="2003"/>
      <c r="G77" s="2001"/>
      <c r="H77" s="2006"/>
      <c r="I77" s="2008"/>
      <c r="J77" s="2011"/>
      <c r="K77" s="1997"/>
      <c r="L77" s="1080"/>
      <c r="M77" s="1080"/>
      <c r="N77" s="1080"/>
      <c r="O77" s="1080"/>
      <c r="P77" s="1080"/>
      <c r="Q77" s="1080"/>
      <c r="R77" s="1080"/>
      <c r="S77" s="212"/>
      <c r="T77" s="212"/>
      <c r="U77" s="212"/>
      <c r="V77" s="212"/>
      <c r="W77" s="1081"/>
      <c r="X77" s="1046"/>
      <c r="Y77" s="1046"/>
      <c r="Z77" s="1046"/>
      <c r="AA77" s="1046"/>
      <c r="AB77" s="1046"/>
      <c r="AC77" s="1046"/>
      <c r="AD77" s="1046"/>
      <c r="AE77" s="1046"/>
      <c r="AF77" s="1046"/>
      <c r="AG77" s="1046"/>
      <c r="AH77" s="1046"/>
      <c r="AI77" s="1046"/>
      <c r="AJ77" s="1046"/>
      <c r="AK77" s="1046"/>
      <c r="AL77" s="1046"/>
      <c r="AM77" s="1046"/>
      <c r="AN77" s="1046"/>
      <c r="AO77" s="1046"/>
      <c r="AP77" s="1046"/>
      <c r="AQ77" s="1046"/>
    </row>
    <row r="78" spans="1:43" s="1651" customFormat="1" ht="17.25" hidden="1" customHeight="1">
      <c r="A78" s="201"/>
      <c r="C78" s="200"/>
      <c r="D78" s="1999"/>
      <c r="E78" s="2001"/>
      <c r="F78" s="2004"/>
      <c r="G78" s="2001"/>
      <c r="H78" s="1082"/>
      <c r="I78" s="1083"/>
      <c r="J78" s="1083"/>
      <c r="K78" s="1083"/>
      <c r="L78" s="1083"/>
      <c r="M78" s="1083"/>
      <c r="N78" s="1083"/>
      <c r="O78" s="1083"/>
      <c r="P78" s="1083"/>
      <c r="Q78" s="1083"/>
      <c r="R78" s="1083"/>
      <c r="S78" s="1084"/>
      <c r="T78" s="1084"/>
      <c r="U78" s="1084"/>
      <c r="V78" s="1084"/>
      <c r="W78" s="1085"/>
      <c r="X78" s="1046"/>
      <c r="Y78" s="1046"/>
      <c r="Z78" s="1046"/>
      <c r="AA78" s="1046"/>
      <c r="AB78" s="1046"/>
      <c r="AC78" s="1046"/>
      <c r="AD78" s="1046"/>
      <c r="AE78" s="1046"/>
      <c r="AF78" s="1046"/>
      <c r="AG78" s="1046"/>
      <c r="AH78" s="1046"/>
      <c r="AI78" s="1046"/>
      <c r="AJ78" s="1046"/>
      <c r="AK78" s="1046"/>
      <c r="AL78" s="1046"/>
      <c r="AM78" s="1046"/>
      <c r="AN78" s="1046"/>
      <c r="AO78" s="1046"/>
      <c r="AP78" s="1046"/>
      <c r="AQ78" s="1046"/>
    </row>
    <row r="79" spans="1:43" s="1651" customFormat="1" ht="17.25" hidden="1" customHeight="1">
      <c r="A79" s="201"/>
      <c r="C79" s="109"/>
      <c r="D79" s="1998">
        <v>4</v>
      </c>
      <c r="E79" s="2000" t="s">
        <v>163</v>
      </c>
      <c r="F79" s="2002" t="s">
        <v>15</v>
      </c>
      <c r="G79" s="2000"/>
      <c r="H79" s="2005"/>
      <c r="I79" s="2007"/>
      <c r="J79" s="2009"/>
      <c r="K79" s="1996"/>
      <c r="L79" s="1996"/>
      <c r="M79" s="1996"/>
      <c r="N79" s="2012"/>
      <c r="O79" s="1996"/>
      <c r="P79" s="1996"/>
      <c r="Q79" s="1996"/>
      <c r="R79" s="2015"/>
      <c r="S79" s="1996"/>
      <c r="T79" s="1217"/>
      <c r="U79" s="1217"/>
      <c r="V79" s="1219"/>
      <c r="W79" s="1079"/>
      <c r="X79" s="1050"/>
      <c r="Y79" s="1050"/>
      <c r="Z79" s="1050"/>
      <c r="AA79" s="1050"/>
      <c r="AB79" s="1050"/>
      <c r="AC79" s="1050" t="s">
        <v>164</v>
      </c>
      <c r="AD79" s="1050" t="s">
        <v>165</v>
      </c>
      <c r="AE79" s="1050" t="s">
        <v>166</v>
      </c>
      <c r="AF79" s="1050" t="s">
        <v>167</v>
      </c>
      <c r="AG79" s="1050"/>
      <c r="AH79" s="1050" t="str">
        <f>IF($E$79=0,"",$E$79)</f>
        <v>Тариф на подвоз воды</v>
      </c>
      <c r="AI79" s="1050" t="str">
        <f>IF($G$79=0,"",$G$79)</f>
        <v/>
      </c>
      <c r="AJ79" s="1050" t="str">
        <f>IF($J$79=0,"",$J$79)</f>
        <v/>
      </c>
      <c r="AK79" s="1050" t="str">
        <f>IF($K$79="нет","без дифференциации",IF($N$79=0,"",$N$79))</f>
        <v/>
      </c>
      <c r="AL79" s="1050" t="str">
        <f>IF($O$79="нет","без дифференциации",IF($R$79=0,"",$R$79))</f>
        <v/>
      </c>
      <c r="AM79" s="1050" t="str">
        <f>IF($S$79="нет","без дифференциации",IF($V$79=0,"",$V$79))</f>
        <v/>
      </c>
      <c r="AN79" s="1507">
        <f>$I$79</f>
        <v>0</v>
      </c>
      <c r="AO79" s="1050" t="str">
        <f>$I$79&amp;"."&amp;$M$79</f>
        <v>.</v>
      </c>
      <c r="AP79" s="1046" t="str">
        <f>$I$79&amp;"."&amp;$M$79&amp;"."&amp;$Q$79</f>
        <v>..</v>
      </c>
      <c r="AQ79" s="1046" t="str">
        <f>$I$79&amp;"."&amp;$M$79&amp;"."&amp;$Q$79&amp;"."&amp;$U$79</f>
        <v>...</v>
      </c>
    </row>
    <row r="80" spans="1:43" s="1651" customFormat="1" ht="17.25" hidden="1" customHeight="1">
      <c r="A80" s="201"/>
      <c r="C80" s="200"/>
      <c r="D80" s="1998"/>
      <c r="E80" s="2000"/>
      <c r="F80" s="2003"/>
      <c r="G80" s="2000"/>
      <c r="H80" s="2006"/>
      <c r="I80" s="2008"/>
      <c r="J80" s="2010"/>
      <c r="K80" s="1997"/>
      <c r="L80" s="1997"/>
      <c r="M80" s="1997"/>
      <c r="N80" s="2013"/>
      <c r="O80" s="1997"/>
      <c r="P80" s="1997"/>
      <c r="Q80" s="1997"/>
      <c r="R80" s="2014"/>
      <c r="S80" s="1997"/>
      <c r="T80" s="1080"/>
      <c r="U80" s="1080"/>
      <c r="V80" s="1080"/>
      <c r="W80" s="1081"/>
      <c r="X80" s="1046"/>
      <c r="Y80" s="1046"/>
      <c r="Z80" s="1046"/>
      <c r="AA80" s="1046"/>
      <c r="AB80" s="1046"/>
      <c r="AC80" s="1046"/>
      <c r="AD80" s="1046"/>
      <c r="AE80" s="1046"/>
      <c r="AF80" s="1046"/>
      <c r="AG80" s="1046"/>
      <c r="AH80" s="1046"/>
      <c r="AI80" s="1046"/>
      <c r="AJ80" s="1046"/>
      <c r="AK80" s="1046"/>
      <c r="AL80" s="1046"/>
      <c r="AM80" s="1046"/>
      <c r="AN80" s="1046"/>
      <c r="AO80" s="1046"/>
      <c r="AP80" s="1046"/>
      <c r="AQ80" s="1046"/>
    </row>
    <row r="81" spans="1:43" s="1651" customFormat="1" ht="17.25" hidden="1" customHeight="1">
      <c r="A81" s="201"/>
      <c r="C81" s="200"/>
      <c r="D81" s="1999"/>
      <c r="E81" s="2001"/>
      <c r="F81" s="2003"/>
      <c r="G81" s="2001"/>
      <c r="H81" s="2006"/>
      <c r="I81" s="2008"/>
      <c r="J81" s="2011"/>
      <c r="K81" s="1997"/>
      <c r="L81" s="1997"/>
      <c r="M81" s="1997"/>
      <c r="N81" s="2014"/>
      <c r="O81" s="1997"/>
      <c r="P81" s="1218"/>
      <c r="Q81" s="1080"/>
      <c r="R81" s="1080"/>
      <c r="S81" s="212"/>
      <c r="T81" s="212"/>
      <c r="U81" s="212"/>
      <c r="V81" s="212"/>
      <c r="W81" s="1081"/>
      <c r="X81" s="1046"/>
      <c r="Y81" s="1046"/>
      <c r="Z81" s="1046"/>
      <c r="AA81" s="1046"/>
      <c r="AB81" s="1046"/>
      <c r="AC81" s="1046"/>
      <c r="AD81" s="1046"/>
      <c r="AE81" s="1046"/>
      <c r="AF81" s="1046"/>
      <c r="AG81" s="1046"/>
      <c r="AH81" s="1046"/>
      <c r="AI81" s="1046"/>
      <c r="AJ81" s="1046"/>
      <c r="AK81" s="1046"/>
      <c r="AL81" s="1046"/>
      <c r="AM81" s="1046"/>
      <c r="AN81" s="1046"/>
      <c r="AO81" s="1046"/>
      <c r="AP81" s="1046"/>
      <c r="AQ81" s="1046"/>
    </row>
    <row r="82" spans="1:43" s="1651" customFormat="1" ht="17.25" hidden="1" customHeight="1">
      <c r="A82" s="201"/>
      <c r="C82" s="200"/>
      <c r="D82" s="1999"/>
      <c r="E82" s="2001"/>
      <c r="F82" s="2003"/>
      <c r="G82" s="2001"/>
      <c r="H82" s="2006"/>
      <c r="I82" s="2008"/>
      <c r="J82" s="2011"/>
      <c r="K82" s="1997"/>
      <c r="L82" s="1080"/>
      <c r="M82" s="1080"/>
      <c r="N82" s="1080"/>
      <c r="O82" s="1080"/>
      <c r="P82" s="1080"/>
      <c r="Q82" s="1080"/>
      <c r="R82" s="1080"/>
      <c r="S82" s="212"/>
      <c r="T82" s="212"/>
      <c r="U82" s="212"/>
      <c r="V82" s="212"/>
      <c r="W82" s="1081"/>
      <c r="X82" s="1046"/>
      <c r="Y82" s="1046"/>
      <c r="Z82" s="1046"/>
      <c r="AA82" s="1046"/>
      <c r="AB82" s="1046"/>
      <c r="AC82" s="1046"/>
      <c r="AD82" s="1046"/>
      <c r="AE82" s="1046"/>
      <c r="AF82" s="1046"/>
      <c r="AG82" s="1046"/>
      <c r="AH82" s="1046"/>
      <c r="AI82" s="1046"/>
      <c r="AJ82" s="1046"/>
      <c r="AK82" s="1046"/>
      <c r="AL82" s="1046"/>
      <c r="AM82" s="1046"/>
      <c r="AN82" s="1046"/>
      <c r="AO82" s="1046"/>
      <c r="AP82" s="1046"/>
      <c r="AQ82" s="1046"/>
    </row>
    <row r="83" spans="1:43" s="1651" customFormat="1" ht="17.25" hidden="1" customHeight="1">
      <c r="A83" s="201"/>
      <c r="C83" s="200"/>
      <c r="D83" s="1999"/>
      <c r="E83" s="2001"/>
      <c r="F83" s="2004"/>
      <c r="G83" s="2001"/>
      <c r="H83" s="1082"/>
      <c r="I83" s="1083"/>
      <c r="J83" s="1083"/>
      <c r="K83" s="1083"/>
      <c r="L83" s="1083"/>
      <c r="M83" s="1083"/>
      <c r="N83" s="1083"/>
      <c r="O83" s="1083"/>
      <c r="P83" s="1083"/>
      <c r="Q83" s="1083"/>
      <c r="R83" s="1083"/>
      <c r="S83" s="1084"/>
      <c r="T83" s="1084"/>
      <c r="U83" s="1084"/>
      <c r="V83" s="1084"/>
      <c r="W83" s="1085"/>
      <c r="X83" s="1046"/>
      <c r="Y83" s="1046"/>
      <c r="Z83" s="1046"/>
      <c r="AA83" s="1046"/>
      <c r="AB83" s="1046"/>
      <c r="AC83" s="1046"/>
      <c r="AD83" s="1046"/>
      <c r="AE83" s="1046"/>
      <c r="AF83" s="1046"/>
      <c r="AG83" s="1046"/>
      <c r="AH83" s="1046"/>
      <c r="AI83" s="1046"/>
      <c r="AJ83" s="1046"/>
      <c r="AK83" s="1046"/>
      <c r="AL83" s="1046"/>
      <c r="AM83" s="1046"/>
      <c r="AN83" s="1046"/>
      <c r="AO83" s="1046"/>
      <c r="AP83" s="1046"/>
      <c r="AQ83" s="1046"/>
    </row>
    <row r="84" spans="1:43" s="1651" customFormat="1" ht="17.25" hidden="1" customHeight="1">
      <c r="A84" s="201"/>
      <c r="C84" s="109"/>
      <c r="D84" s="1998">
        <v>5</v>
      </c>
      <c r="E84" s="2000" t="s">
        <v>168</v>
      </c>
      <c r="F84" s="2002" t="s">
        <v>15</v>
      </c>
      <c r="G84" s="2000"/>
      <c r="H84" s="2005"/>
      <c r="I84" s="2007"/>
      <c r="J84" s="2009"/>
      <c r="K84" s="1996"/>
      <c r="L84" s="1996"/>
      <c r="M84" s="1996"/>
      <c r="N84" s="2012"/>
      <c r="O84" s="1996"/>
      <c r="P84" s="1996"/>
      <c r="Q84" s="1996"/>
      <c r="R84" s="2015"/>
      <c r="S84" s="1996"/>
      <c r="T84" s="1241"/>
      <c r="U84" s="1241"/>
      <c r="V84" s="1243"/>
      <c r="W84" s="1079"/>
      <c r="X84" s="1050"/>
      <c r="Y84" s="1050"/>
      <c r="Z84" s="1050"/>
      <c r="AA84" s="1050"/>
      <c r="AB84" s="1050"/>
      <c r="AC84" s="1050" t="s">
        <v>169</v>
      </c>
      <c r="AD84" s="1050" t="s">
        <v>170</v>
      </c>
      <c r="AE84" s="1050" t="s">
        <v>171</v>
      </c>
      <c r="AF84" s="1050" t="s">
        <v>172</v>
      </c>
      <c r="AG84" s="1050"/>
      <c r="AH84" s="1050" t="str">
        <f>IF($E$84=0,"",$E$84)</f>
        <v>Тариф на подключение (технологическое присоединение) к централизованной системе холодного водоснабжения</v>
      </c>
      <c r="AI84" s="1050" t="str">
        <f>IF($G$84=0,"",$G$84)</f>
        <v/>
      </c>
      <c r="AJ84" s="1050" t="str">
        <f>IF($J$84=0,"",$J$84)</f>
        <v/>
      </c>
      <c r="AK84" s="1050" t="str">
        <f>IF($K$84="нет","без дифференциации",IF($N$84=0,"",$N$84))</f>
        <v/>
      </c>
      <c r="AL84" s="1050" t="str">
        <f>IF($O$84="нет","без дифференциации",IF($R$84=0,"",$R$84))</f>
        <v/>
      </c>
      <c r="AM84" s="1050" t="str">
        <f>IF($S$84="нет","без дифференциации",IF($V$84=0,"",$V$84))</f>
        <v/>
      </c>
      <c r="AN84" s="1507">
        <f>$I$84</f>
        <v>0</v>
      </c>
      <c r="AO84" s="1050" t="str">
        <f>$I$84&amp;"."&amp;$M$84</f>
        <v>.</v>
      </c>
      <c r="AP84" s="1046" t="str">
        <f>$I$84&amp;"."&amp;$M$84&amp;"."&amp;$Q$84</f>
        <v>..</v>
      </c>
      <c r="AQ84" s="1046" t="str">
        <f>$I$84&amp;"."&amp;$M$84&amp;"."&amp;$Q$84&amp;"."&amp;$U$84</f>
        <v>...</v>
      </c>
    </row>
    <row r="85" spans="1:43" s="1651" customFormat="1" ht="17.25" hidden="1" customHeight="1">
      <c r="A85" s="201"/>
      <c r="C85" s="200"/>
      <c r="D85" s="1998"/>
      <c r="E85" s="2000"/>
      <c r="F85" s="2003"/>
      <c r="G85" s="2000"/>
      <c r="H85" s="2006"/>
      <c r="I85" s="2008"/>
      <c r="J85" s="2010"/>
      <c r="K85" s="1997"/>
      <c r="L85" s="1997"/>
      <c r="M85" s="1997"/>
      <c r="N85" s="2013"/>
      <c r="O85" s="1997"/>
      <c r="P85" s="1997"/>
      <c r="Q85" s="1997"/>
      <c r="R85" s="2014"/>
      <c r="S85" s="1997"/>
      <c r="T85" s="1080"/>
      <c r="U85" s="1080"/>
      <c r="V85" s="1080"/>
      <c r="W85" s="1081"/>
      <c r="X85" s="1046"/>
      <c r="Y85" s="1046"/>
      <c r="Z85" s="1046"/>
      <c r="AA85" s="1046"/>
      <c r="AB85" s="1046"/>
      <c r="AC85" s="1046"/>
      <c r="AD85" s="1046"/>
      <c r="AE85" s="1046"/>
      <c r="AF85" s="1046"/>
      <c r="AG85" s="1046"/>
      <c r="AH85" s="1046"/>
      <c r="AI85" s="1046"/>
      <c r="AJ85" s="1046"/>
      <c r="AK85" s="1046"/>
      <c r="AL85" s="1046"/>
      <c r="AM85" s="1046"/>
      <c r="AN85" s="1046"/>
      <c r="AO85" s="1046"/>
      <c r="AP85" s="1046"/>
      <c r="AQ85" s="1046"/>
    </row>
    <row r="86" spans="1:43" s="1651" customFormat="1" ht="17.25" hidden="1" customHeight="1">
      <c r="A86" s="201"/>
      <c r="C86" s="200"/>
      <c r="D86" s="1999"/>
      <c r="E86" s="2001"/>
      <c r="F86" s="2003"/>
      <c r="G86" s="2001"/>
      <c r="H86" s="2006"/>
      <c r="I86" s="2008"/>
      <c r="J86" s="2011"/>
      <c r="K86" s="1997"/>
      <c r="L86" s="1997"/>
      <c r="M86" s="1997"/>
      <c r="N86" s="2014"/>
      <c r="O86" s="1997"/>
      <c r="P86" s="1242"/>
      <c r="Q86" s="1080"/>
      <c r="R86" s="1080"/>
      <c r="S86" s="212"/>
      <c r="T86" s="212"/>
      <c r="U86" s="212"/>
      <c r="V86" s="212"/>
      <c r="W86" s="1081"/>
      <c r="X86" s="1046"/>
      <c r="Y86" s="1046"/>
      <c r="Z86" s="1046"/>
      <c r="AA86" s="1046"/>
      <c r="AB86" s="1046"/>
      <c r="AC86" s="1046"/>
      <c r="AD86" s="1046"/>
      <c r="AE86" s="1046"/>
      <c r="AF86" s="1046"/>
      <c r="AG86" s="1046"/>
      <c r="AH86" s="1046"/>
      <c r="AI86" s="1046"/>
      <c r="AJ86" s="1046"/>
      <c r="AK86" s="1046"/>
      <c r="AL86" s="1046"/>
      <c r="AM86" s="1046"/>
      <c r="AN86" s="1046"/>
      <c r="AO86" s="1046"/>
      <c r="AP86" s="1046"/>
      <c r="AQ86" s="1046"/>
    </row>
    <row r="87" spans="1:43" s="1651" customFormat="1" ht="17.25" hidden="1" customHeight="1">
      <c r="A87" s="201"/>
      <c r="C87" s="200"/>
      <c r="D87" s="1999"/>
      <c r="E87" s="2001"/>
      <c r="F87" s="2003"/>
      <c r="G87" s="2001"/>
      <c r="H87" s="2006"/>
      <c r="I87" s="2008"/>
      <c r="J87" s="2011"/>
      <c r="K87" s="1997"/>
      <c r="L87" s="1080"/>
      <c r="M87" s="1080"/>
      <c r="N87" s="1080"/>
      <c r="O87" s="1080"/>
      <c r="P87" s="1080"/>
      <c r="Q87" s="1080"/>
      <c r="R87" s="1080"/>
      <c r="S87" s="212"/>
      <c r="T87" s="212"/>
      <c r="U87" s="212"/>
      <c r="V87" s="212"/>
      <c r="W87" s="1081"/>
      <c r="X87" s="1046"/>
      <c r="Y87" s="1046"/>
      <c r="Z87" s="1046"/>
      <c r="AA87" s="1046"/>
      <c r="AB87" s="1046"/>
      <c r="AC87" s="1046"/>
      <c r="AD87" s="1046"/>
      <c r="AE87" s="1046"/>
      <c r="AF87" s="1046"/>
      <c r="AG87" s="1046"/>
      <c r="AH87" s="1046"/>
      <c r="AI87" s="1046"/>
      <c r="AJ87" s="1046"/>
      <c r="AK87" s="1046"/>
      <c r="AL87" s="1046"/>
      <c r="AM87" s="1046"/>
      <c r="AN87" s="1046"/>
      <c r="AO87" s="1046"/>
      <c r="AP87" s="1046"/>
      <c r="AQ87" s="1046"/>
    </row>
    <row r="88" spans="1:43" s="1651" customFormat="1" ht="17.25" hidden="1" customHeight="1">
      <c r="A88" s="201"/>
      <c r="C88" s="200"/>
      <c r="D88" s="1999"/>
      <c r="E88" s="2001"/>
      <c r="F88" s="2004"/>
      <c r="G88" s="2001"/>
      <c r="H88" s="1082"/>
      <c r="I88" s="1083"/>
      <c r="J88" s="1083"/>
      <c r="K88" s="1083"/>
      <c r="L88" s="1083"/>
      <c r="M88" s="1083"/>
      <c r="N88" s="1083"/>
      <c r="O88" s="1083"/>
      <c r="P88" s="1083"/>
      <c r="Q88" s="1083"/>
      <c r="R88" s="1083"/>
      <c r="S88" s="1084"/>
      <c r="T88" s="1084"/>
      <c r="U88" s="1084"/>
      <c r="V88" s="1084"/>
      <c r="W88" s="1085"/>
      <c r="X88" s="1046"/>
      <c r="Y88" s="1046"/>
      <c r="Z88" s="1046"/>
      <c r="AA88" s="1046"/>
      <c r="AB88" s="1046"/>
      <c r="AC88" s="1046"/>
      <c r="AD88" s="1046"/>
      <c r="AE88" s="1046"/>
      <c r="AF88" s="1046"/>
      <c r="AG88" s="1046"/>
      <c r="AH88" s="1046"/>
      <c r="AI88" s="1046"/>
      <c r="AJ88" s="1046"/>
      <c r="AK88" s="1046"/>
      <c r="AL88" s="1046"/>
      <c r="AM88" s="1046"/>
      <c r="AN88" s="1046"/>
      <c r="AO88" s="1046"/>
      <c r="AP88" s="1046"/>
      <c r="AQ88" s="1046"/>
    </row>
    <row r="89" spans="1:43" s="1653" customFormat="1" ht="11.25" hidden="1" customHeight="1">
      <c r="A89" s="152"/>
      <c r="B89" s="152"/>
      <c r="Y89" s="1046"/>
      <c r="Z89" s="1046"/>
      <c r="AA89" s="1046"/>
      <c r="AB89" s="1046"/>
      <c r="AC89" s="1046"/>
      <c r="AD89" s="1046"/>
      <c r="AE89" s="1046"/>
      <c r="AF89" s="1046"/>
      <c r="AG89" s="1046"/>
      <c r="AH89" s="1046"/>
      <c r="AI89" s="1046"/>
      <c r="AJ89" s="1046"/>
      <c r="AK89" s="1046"/>
      <c r="AL89" s="1046"/>
      <c r="AM89" s="1046"/>
      <c r="AN89" s="1046"/>
      <c r="AO89" s="1046"/>
      <c r="AP89" s="1046"/>
      <c r="AQ89" s="1046"/>
    </row>
    <row r="90" spans="1:43" s="1653" customFormat="1" ht="17.25" hidden="1" customHeight="1">
      <c r="A90" s="201"/>
      <c r="C90" s="109"/>
      <c r="D90" s="1998">
        <v>1</v>
      </c>
      <c r="E90" s="2000" t="s">
        <v>173</v>
      </c>
      <c r="F90" s="2002" t="s">
        <v>15</v>
      </c>
      <c r="G90" s="2000"/>
      <c r="H90" s="2005"/>
      <c r="I90" s="2007"/>
      <c r="J90" s="2009"/>
      <c r="K90" s="1996"/>
      <c r="L90" s="1996"/>
      <c r="M90" s="1996"/>
      <c r="N90" s="2012"/>
      <c r="O90" s="1996"/>
      <c r="P90" s="1996"/>
      <c r="Q90" s="1996"/>
      <c r="R90" s="2015"/>
      <c r="S90" s="1996"/>
      <c r="T90" s="1241"/>
      <c r="U90" s="1241"/>
      <c r="V90" s="1243"/>
      <c r="W90" s="1079"/>
      <c r="Y90" s="1050"/>
      <c r="Z90" s="1050"/>
      <c r="AA90" s="1050"/>
      <c r="AB90" s="1050"/>
      <c r="AC90" s="1050" t="s">
        <v>174</v>
      </c>
      <c r="AD90" s="1050" t="s">
        <v>175</v>
      </c>
      <c r="AE90" s="1050" t="s">
        <v>176</v>
      </c>
      <c r="AF90" s="1050" t="s">
        <v>177</v>
      </c>
      <c r="AG90" s="1050"/>
      <c r="AH90" s="1050" t="str">
        <f>IF($E$90=0,"",$E$90)</f>
        <v>Тариф на горячую воду (горячее водоснабжение)</v>
      </c>
      <c r="AI90" s="1050" t="str">
        <f>IF($G$90=0,"",$G$90)</f>
        <v/>
      </c>
      <c r="AJ90" s="1050" t="str">
        <f>IF($J$90=0,"",$J$90)</f>
        <v/>
      </c>
      <c r="AK90" s="1050" t="str">
        <f>IF($K$90="нет","без дифференциации",IF($N$90=0,"",$N$90))</f>
        <v/>
      </c>
      <c r="AL90" s="1050" t="str">
        <f>IF($O$90="нет","без дифференциации",IF($R$90=0,"",$R$90))</f>
        <v/>
      </c>
      <c r="AM90" s="1050" t="str">
        <f>IF($S$90="нет","без дифференциации",IF($V$90=0,"",$V$90))</f>
        <v/>
      </c>
      <c r="AN90" s="1050">
        <f>$I$90</f>
        <v>0</v>
      </c>
      <c r="AO90" s="1050" t="str">
        <f>$I$90&amp;"."&amp;$M$90</f>
        <v>.</v>
      </c>
      <c r="AP90" s="1050" t="str">
        <f>$I$90&amp;"."&amp;$M$90&amp;"."&amp;$Q$90</f>
        <v>..</v>
      </c>
      <c r="AQ90" s="1050" t="str">
        <f>$I$90&amp;"."&amp;$M$90&amp;"."&amp;$Q$90&amp;"."&amp;$U$90</f>
        <v>...</v>
      </c>
    </row>
    <row r="91" spans="1:43" s="1653" customFormat="1" ht="17.25" hidden="1" customHeight="1">
      <c r="A91" s="201"/>
      <c r="C91" s="200"/>
      <c r="D91" s="1998"/>
      <c r="E91" s="2000"/>
      <c r="F91" s="2003"/>
      <c r="G91" s="2000"/>
      <c r="H91" s="2006"/>
      <c r="I91" s="2008"/>
      <c r="J91" s="2010"/>
      <c r="K91" s="1997"/>
      <c r="L91" s="1997"/>
      <c r="M91" s="1997"/>
      <c r="N91" s="2013"/>
      <c r="O91" s="1997"/>
      <c r="P91" s="1997"/>
      <c r="Q91" s="1997"/>
      <c r="R91" s="2014"/>
      <c r="S91" s="1997"/>
      <c r="T91" s="1080"/>
      <c r="U91" s="1080"/>
      <c r="V91" s="1080"/>
      <c r="W91" s="1081"/>
      <c r="Y91" s="1046"/>
      <c r="Z91" s="1046"/>
      <c r="AA91" s="1046"/>
      <c r="AB91" s="1046"/>
      <c r="AC91" s="1046"/>
      <c r="AD91" s="1046"/>
      <c r="AE91" s="1046"/>
      <c r="AF91" s="1046"/>
      <c r="AG91" s="1046"/>
      <c r="AH91" s="1046"/>
      <c r="AI91" s="1046"/>
      <c r="AJ91" s="1046"/>
      <c r="AK91" s="1046"/>
      <c r="AL91" s="1046"/>
      <c r="AM91" s="1046"/>
      <c r="AN91" s="1046"/>
      <c r="AO91" s="1046"/>
      <c r="AP91" s="1046"/>
      <c r="AQ91" s="1046"/>
    </row>
    <row r="92" spans="1:43" s="1653" customFormat="1" ht="17.25" hidden="1" customHeight="1">
      <c r="A92" s="201"/>
      <c r="C92" s="109"/>
      <c r="D92" s="1998"/>
      <c r="E92" s="2000"/>
      <c r="F92" s="2003"/>
      <c r="G92" s="2000"/>
      <c r="H92" s="2006"/>
      <c r="I92" s="2008"/>
      <c r="J92" s="2011"/>
      <c r="K92" s="1997"/>
      <c r="L92" s="1997"/>
      <c r="M92" s="1997"/>
      <c r="N92" s="2014"/>
      <c r="O92" s="1997"/>
      <c r="P92" s="1242"/>
      <c r="Q92" s="1080"/>
      <c r="R92" s="1080"/>
      <c r="S92" s="212"/>
      <c r="T92" s="212"/>
      <c r="U92" s="212"/>
      <c r="V92" s="212"/>
      <c r="W92" s="1081"/>
      <c r="Y92" s="1050"/>
      <c r="Z92" s="1050"/>
      <c r="AA92" s="1050"/>
      <c r="AB92" s="1050"/>
      <c r="AC92" s="1050"/>
      <c r="AD92" s="1050"/>
      <c r="AE92" s="1050"/>
      <c r="AF92" s="1050"/>
      <c r="AG92" s="1050"/>
      <c r="AH92" s="1050"/>
      <c r="AI92" s="1050"/>
      <c r="AJ92" s="1050"/>
      <c r="AK92" s="1050"/>
      <c r="AL92" s="1050"/>
      <c r="AM92" s="1050"/>
      <c r="AN92" s="1050"/>
      <c r="AO92" s="1050"/>
      <c r="AP92" s="1050"/>
      <c r="AQ92" s="1050"/>
    </row>
    <row r="93" spans="1:43" s="1653" customFormat="1" ht="17.25" hidden="1" customHeight="1">
      <c r="A93" s="201"/>
      <c r="C93" s="200"/>
      <c r="D93" s="1998"/>
      <c r="E93" s="2000"/>
      <c r="F93" s="2003"/>
      <c r="G93" s="2000"/>
      <c r="H93" s="2006"/>
      <c r="I93" s="2008"/>
      <c r="J93" s="2011"/>
      <c r="K93" s="1997"/>
      <c r="L93" s="1080"/>
      <c r="M93" s="1080"/>
      <c r="N93" s="1080"/>
      <c r="O93" s="1080"/>
      <c r="P93" s="1080"/>
      <c r="Q93" s="1080"/>
      <c r="R93" s="1080"/>
      <c r="S93" s="212"/>
      <c r="T93" s="212"/>
      <c r="U93" s="212"/>
      <c r="V93" s="212"/>
      <c r="W93" s="1081"/>
      <c r="Y93" s="1046"/>
      <c r="Z93" s="1046"/>
      <c r="AA93" s="1046"/>
      <c r="AB93" s="1046"/>
      <c r="AC93" s="1046"/>
      <c r="AD93" s="1046"/>
      <c r="AE93" s="1046"/>
      <c r="AF93" s="1046"/>
      <c r="AG93" s="1046"/>
      <c r="AH93" s="1046"/>
      <c r="AI93" s="1046"/>
      <c r="AJ93" s="1046"/>
      <c r="AK93" s="1046"/>
      <c r="AL93" s="1046"/>
      <c r="AM93" s="1046"/>
      <c r="AN93" s="1046"/>
      <c r="AO93" s="1046"/>
      <c r="AP93" s="1046"/>
      <c r="AQ93" s="1046"/>
    </row>
    <row r="94" spans="1:43" s="1653" customFormat="1" ht="17.25" hidden="1" customHeight="1">
      <c r="A94" s="201"/>
      <c r="C94" s="200"/>
      <c r="D94" s="1999"/>
      <c r="E94" s="2001"/>
      <c r="F94" s="2004"/>
      <c r="G94" s="2001"/>
      <c r="H94" s="1082"/>
      <c r="I94" s="1083"/>
      <c r="J94" s="1083"/>
      <c r="K94" s="1083"/>
      <c r="L94" s="1083"/>
      <c r="M94" s="1083"/>
      <c r="N94" s="1083"/>
      <c r="O94" s="1083"/>
      <c r="P94" s="1083"/>
      <c r="Q94" s="1083"/>
      <c r="R94" s="1083"/>
      <c r="S94" s="1084"/>
      <c r="T94" s="1084"/>
      <c r="U94" s="1084"/>
      <c r="V94" s="1084"/>
      <c r="W94" s="1085"/>
      <c r="Y94" s="1046"/>
      <c r="Z94" s="1046"/>
      <c r="AA94" s="1046"/>
      <c r="AB94" s="1046"/>
      <c r="AC94" s="1046"/>
      <c r="AD94" s="1046"/>
      <c r="AE94" s="1046"/>
      <c r="AF94" s="1046"/>
      <c r="AG94" s="1046"/>
      <c r="AH94" s="1046"/>
      <c r="AI94" s="1046"/>
      <c r="AJ94" s="1046"/>
      <c r="AK94" s="1046"/>
      <c r="AL94" s="1046"/>
      <c r="AM94" s="1046"/>
      <c r="AN94" s="1046"/>
      <c r="AO94" s="1046"/>
      <c r="AP94" s="1046"/>
      <c r="AQ94" s="1046"/>
    </row>
    <row r="95" spans="1:43" s="1653" customFormat="1" ht="17.25" hidden="1" customHeight="1">
      <c r="A95" s="201"/>
      <c r="C95" s="109"/>
      <c r="D95" s="1998">
        <v>2</v>
      </c>
      <c r="E95" s="2000" t="s">
        <v>178</v>
      </c>
      <c r="F95" s="2002" t="s">
        <v>15</v>
      </c>
      <c r="G95" s="2000"/>
      <c r="H95" s="2005"/>
      <c r="I95" s="2007"/>
      <c r="J95" s="2009"/>
      <c r="K95" s="1996"/>
      <c r="L95" s="1996"/>
      <c r="M95" s="1996"/>
      <c r="N95" s="2012"/>
      <c r="O95" s="1996"/>
      <c r="P95" s="1996"/>
      <c r="Q95" s="1996"/>
      <c r="R95" s="2015"/>
      <c r="S95" s="1996"/>
      <c r="T95" s="1241"/>
      <c r="U95" s="1241"/>
      <c r="V95" s="1243"/>
      <c r="W95" s="1079"/>
      <c r="X95" s="1050"/>
      <c r="Y95" s="1050"/>
      <c r="Z95" s="1050"/>
      <c r="AA95" s="1050"/>
      <c r="AB95" s="1050"/>
      <c r="AC95" s="1050" t="s">
        <v>179</v>
      </c>
      <c r="AD95" s="1050" t="s">
        <v>180</v>
      </c>
      <c r="AE95" s="1050" t="s">
        <v>181</v>
      </c>
      <c r="AF95" s="1050" t="s">
        <v>182</v>
      </c>
      <c r="AG95" s="1050"/>
      <c r="AH95" s="1050" t="str">
        <f>IF($E$95=0,"",$E$95)</f>
        <v>Тариф на транспортировку горячей воды</v>
      </c>
      <c r="AI95" s="1050" t="str">
        <f>IF($G$95=0,"",$G$95)</f>
        <v/>
      </c>
      <c r="AJ95" s="1050" t="str">
        <f>IF($J$95=0,"",$J$95)</f>
        <v/>
      </c>
      <c r="AK95" s="1050" t="str">
        <f>IF($K$95="нет","без дифференциации",IF($N$95=0,"",$N$95))</f>
        <v/>
      </c>
      <c r="AL95" s="1050" t="str">
        <f>IF($O$95="нет","без дифференциации",IF($R$95=0,"",$R$95))</f>
        <v/>
      </c>
      <c r="AM95" s="1050" t="str">
        <f>IF($S$95="нет","без дифференциации",IF($V$95=0,"",$V$95))</f>
        <v/>
      </c>
      <c r="AN95" s="1507">
        <f>$I$95</f>
        <v>0</v>
      </c>
      <c r="AO95" s="1050" t="str">
        <f>$I$95&amp;"."&amp;$M$95</f>
        <v>.</v>
      </c>
      <c r="AP95" s="1046" t="str">
        <f>$I$95&amp;"."&amp;$M$95&amp;"."&amp;$Q$95</f>
        <v>..</v>
      </c>
      <c r="AQ95" s="1046" t="str">
        <f>$I$95&amp;"."&amp;$M$95&amp;"."&amp;$Q$95&amp;"."&amp;$U$95</f>
        <v>...</v>
      </c>
    </row>
    <row r="96" spans="1:43" s="1653" customFormat="1" ht="17.25" hidden="1" customHeight="1">
      <c r="A96" s="201"/>
      <c r="C96" s="200"/>
      <c r="D96" s="1998"/>
      <c r="E96" s="2000"/>
      <c r="F96" s="2003"/>
      <c r="G96" s="2000"/>
      <c r="H96" s="2006"/>
      <c r="I96" s="2008"/>
      <c r="J96" s="2010"/>
      <c r="K96" s="1997"/>
      <c r="L96" s="1997"/>
      <c r="M96" s="1997"/>
      <c r="N96" s="2013"/>
      <c r="O96" s="1997"/>
      <c r="P96" s="1997"/>
      <c r="Q96" s="1997"/>
      <c r="R96" s="2014"/>
      <c r="S96" s="1997"/>
      <c r="T96" s="1080"/>
      <c r="U96" s="1080"/>
      <c r="V96" s="1080"/>
      <c r="W96" s="1081"/>
      <c r="X96" s="1046"/>
      <c r="Y96" s="1046"/>
      <c r="Z96" s="1046"/>
      <c r="AA96" s="1046"/>
      <c r="AB96" s="1046"/>
      <c r="AC96" s="1046"/>
      <c r="AD96" s="1046"/>
      <c r="AE96" s="1046"/>
      <c r="AF96" s="1046"/>
      <c r="AG96" s="1046"/>
      <c r="AH96" s="1046"/>
      <c r="AI96" s="1046"/>
      <c r="AJ96" s="1046"/>
      <c r="AK96" s="1046"/>
      <c r="AL96" s="1046"/>
      <c r="AM96" s="1046"/>
      <c r="AN96" s="1046"/>
      <c r="AO96" s="1046"/>
      <c r="AP96" s="1046"/>
      <c r="AQ96" s="1046"/>
    </row>
    <row r="97" spans="1:43" s="1653" customFormat="1" ht="17.25" hidden="1" customHeight="1">
      <c r="A97" s="201"/>
      <c r="C97" s="200"/>
      <c r="D97" s="1999"/>
      <c r="E97" s="2001"/>
      <c r="F97" s="2003"/>
      <c r="G97" s="2001"/>
      <c r="H97" s="2006"/>
      <c r="I97" s="2008"/>
      <c r="J97" s="2011"/>
      <c r="K97" s="1997"/>
      <c r="L97" s="1997"/>
      <c r="M97" s="1997"/>
      <c r="N97" s="2014"/>
      <c r="O97" s="1997"/>
      <c r="P97" s="1242"/>
      <c r="Q97" s="1080"/>
      <c r="R97" s="1080"/>
      <c r="S97" s="212"/>
      <c r="T97" s="212"/>
      <c r="U97" s="212"/>
      <c r="V97" s="212"/>
      <c r="W97" s="1081"/>
      <c r="X97" s="1046"/>
      <c r="Y97" s="1046"/>
      <c r="Z97" s="1046"/>
      <c r="AA97" s="1046"/>
      <c r="AB97" s="1046"/>
      <c r="AC97" s="1046"/>
      <c r="AD97" s="1046"/>
      <c r="AE97" s="1046"/>
      <c r="AF97" s="1046"/>
      <c r="AG97" s="1046"/>
      <c r="AH97" s="1046"/>
      <c r="AI97" s="1046"/>
      <c r="AJ97" s="1046"/>
      <c r="AK97" s="1046"/>
      <c r="AL97" s="1046"/>
      <c r="AM97" s="1046"/>
      <c r="AN97" s="1046"/>
      <c r="AO97" s="1046"/>
      <c r="AP97" s="1046"/>
      <c r="AQ97" s="1046"/>
    </row>
    <row r="98" spans="1:43" s="1653" customFormat="1" ht="17.25" hidden="1" customHeight="1">
      <c r="A98" s="201"/>
      <c r="C98" s="200"/>
      <c r="D98" s="1999"/>
      <c r="E98" s="2001"/>
      <c r="F98" s="2003"/>
      <c r="G98" s="2001"/>
      <c r="H98" s="2006"/>
      <c r="I98" s="2008"/>
      <c r="J98" s="2011"/>
      <c r="K98" s="1997"/>
      <c r="L98" s="1080"/>
      <c r="M98" s="1080"/>
      <c r="N98" s="1080"/>
      <c r="O98" s="1080"/>
      <c r="P98" s="1080"/>
      <c r="Q98" s="1080"/>
      <c r="R98" s="1080"/>
      <c r="S98" s="212"/>
      <c r="T98" s="212"/>
      <c r="U98" s="212"/>
      <c r="V98" s="212"/>
      <c r="W98" s="1081"/>
      <c r="X98" s="1046"/>
      <c r="Y98" s="1046"/>
      <c r="Z98" s="1046"/>
      <c r="AA98" s="1046"/>
      <c r="AB98" s="1046"/>
      <c r="AC98" s="1046"/>
      <c r="AD98" s="1046"/>
      <c r="AE98" s="1046"/>
      <c r="AF98" s="1046"/>
      <c r="AG98" s="1046"/>
      <c r="AH98" s="1046"/>
      <c r="AI98" s="1046"/>
      <c r="AJ98" s="1046"/>
      <c r="AK98" s="1046"/>
      <c r="AL98" s="1046"/>
      <c r="AM98" s="1046"/>
      <c r="AN98" s="1046"/>
      <c r="AO98" s="1046"/>
      <c r="AP98" s="1046"/>
      <c r="AQ98" s="1046"/>
    </row>
    <row r="99" spans="1:43" s="1653" customFormat="1" ht="17.25" hidden="1" customHeight="1">
      <c r="A99" s="201"/>
      <c r="C99" s="200"/>
      <c r="D99" s="1999"/>
      <c r="E99" s="2001"/>
      <c r="F99" s="2004"/>
      <c r="G99" s="2001"/>
      <c r="H99" s="1082"/>
      <c r="I99" s="1083"/>
      <c r="J99" s="1083"/>
      <c r="K99" s="1083"/>
      <c r="L99" s="1083"/>
      <c r="M99" s="1083"/>
      <c r="N99" s="1083"/>
      <c r="O99" s="1083"/>
      <c r="P99" s="1083"/>
      <c r="Q99" s="1083"/>
      <c r="R99" s="1083"/>
      <c r="S99" s="1084"/>
      <c r="T99" s="1084"/>
      <c r="U99" s="1084"/>
      <c r="V99" s="1084"/>
      <c r="W99" s="1085"/>
      <c r="X99" s="1046"/>
      <c r="Y99" s="1046"/>
      <c r="Z99" s="1046"/>
      <c r="AA99" s="1046"/>
      <c r="AB99" s="1046"/>
      <c r="AC99" s="1046"/>
      <c r="AD99" s="1046"/>
      <c r="AE99" s="1046"/>
      <c r="AF99" s="1046"/>
      <c r="AG99" s="1046"/>
      <c r="AH99" s="1046"/>
      <c r="AI99" s="1046"/>
      <c r="AJ99" s="1046"/>
      <c r="AK99" s="1046"/>
      <c r="AL99" s="1046"/>
      <c r="AM99" s="1046"/>
      <c r="AN99" s="1046"/>
      <c r="AO99" s="1046"/>
      <c r="AP99" s="1046"/>
      <c r="AQ99" s="1046"/>
    </row>
    <row r="100" spans="1:43" s="1653" customFormat="1" ht="17.25" hidden="1" customHeight="1">
      <c r="A100" s="201"/>
      <c r="C100" s="109"/>
      <c r="D100" s="1998">
        <v>3</v>
      </c>
      <c r="E100" s="2000" t="s">
        <v>183</v>
      </c>
      <c r="F100" s="2002" t="s">
        <v>15</v>
      </c>
      <c r="G100" s="2000"/>
      <c r="H100" s="2005"/>
      <c r="I100" s="2007"/>
      <c r="J100" s="2009"/>
      <c r="K100" s="1996"/>
      <c r="L100" s="1996"/>
      <c r="M100" s="1996"/>
      <c r="N100" s="2012"/>
      <c r="O100" s="1996"/>
      <c r="P100" s="1996"/>
      <c r="Q100" s="1996"/>
      <c r="R100" s="2015"/>
      <c r="S100" s="1996"/>
      <c r="T100" s="1241"/>
      <c r="U100" s="1241"/>
      <c r="V100" s="1243"/>
      <c r="W100" s="1079"/>
      <c r="X100" s="1050"/>
      <c r="Y100" s="1050"/>
      <c r="Z100" s="1050"/>
      <c r="AA100" s="1050"/>
      <c r="AB100" s="1050"/>
      <c r="AC100" s="1050" t="s">
        <v>184</v>
      </c>
      <c r="AD100" s="1050" t="s">
        <v>185</v>
      </c>
      <c r="AE100" s="1050" t="s">
        <v>186</v>
      </c>
      <c r="AF100" s="1050" t="s">
        <v>187</v>
      </c>
      <c r="AG100" s="1050"/>
      <c r="AH100" s="1050" t="str">
        <f>IF($E$100=0,"",$E$100)</f>
        <v>Тариф на подключение (технологическое присоединение) к централизованной системе горячего водоснабжения</v>
      </c>
      <c r="AI100" s="1050" t="str">
        <f>IF($G$100=0,"",$G$100)</f>
        <v/>
      </c>
      <c r="AJ100" s="1050" t="str">
        <f>IF($J$100=0,"",$J$100)</f>
        <v/>
      </c>
      <c r="AK100" s="1050" t="str">
        <f>IF($K$100="нет","без дифференциации",IF($N$100=0,"",$N$100))</f>
        <v/>
      </c>
      <c r="AL100" s="1050" t="str">
        <f>IF($O$100="нет","без дифференциации",IF($R$100=0,"",$R$100))</f>
        <v/>
      </c>
      <c r="AM100" s="1050" t="str">
        <f>IF($S$100="нет","без дифференциации",IF($V$100=0,"",$V$100))</f>
        <v/>
      </c>
      <c r="AN100" s="1507">
        <f>$I$100</f>
        <v>0</v>
      </c>
      <c r="AO100" s="1050" t="str">
        <f>$I$100&amp;"."&amp;$M$100</f>
        <v>.</v>
      </c>
      <c r="AP100" s="1046" t="str">
        <f>$I$100&amp;"."&amp;$M$100&amp;"."&amp;$Q$100</f>
        <v>..</v>
      </c>
      <c r="AQ100" s="1046" t="str">
        <f>$I$100&amp;"."&amp;$M$100&amp;"."&amp;$Q$100&amp;"."&amp;$U$100</f>
        <v>...</v>
      </c>
    </row>
    <row r="101" spans="1:43" s="1653" customFormat="1" ht="17.25" hidden="1" customHeight="1">
      <c r="A101" s="201"/>
      <c r="C101" s="200"/>
      <c r="D101" s="1998"/>
      <c r="E101" s="2000"/>
      <c r="F101" s="2003"/>
      <c r="G101" s="2000"/>
      <c r="H101" s="2006"/>
      <c r="I101" s="2008"/>
      <c r="J101" s="2010"/>
      <c r="K101" s="1997"/>
      <c r="L101" s="1997"/>
      <c r="M101" s="1997"/>
      <c r="N101" s="2013"/>
      <c r="O101" s="1997"/>
      <c r="P101" s="1997"/>
      <c r="Q101" s="1997"/>
      <c r="R101" s="2014"/>
      <c r="S101" s="1997"/>
      <c r="T101" s="1080"/>
      <c r="U101" s="1080"/>
      <c r="V101" s="1080"/>
      <c r="W101" s="1081"/>
      <c r="X101" s="1046"/>
      <c r="Y101" s="1046"/>
      <c r="Z101" s="1046"/>
      <c r="AA101" s="1046"/>
      <c r="AB101" s="1046"/>
      <c r="AC101" s="1046"/>
      <c r="AD101" s="1046"/>
      <c r="AE101" s="1046"/>
      <c r="AF101" s="1046"/>
      <c r="AG101" s="1046"/>
      <c r="AH101" s="1046"/>
      <c r="AI101" s="1046"/>
      <c r="AJ101" s="1046"/>
      <c r="AK101" s="1046"/>
      <c r="AL101" s="1046"/>
      <c r="AM101" s="1046"/>
      <c r="AN101" s="1046"/>
      <c r="AO101" s="1046"/>
      <c r="AP101" s="1046"/>
      <c r="AQ101" s="1046"/>
    </row>
    <row r="102" spans="1:43" s="1653" customFormat="1" ht="17.25" hidden="1" customHeight="1">
      <c r="A102" s="201"/>
      <c r="C102" s="200"/>
      <c r="D102" s="1999"/>
      <c r="E102" s="2001"/>
      <c r="F102" s="2003"/>
      <c r="G102" s="2001"/>
      <c r="H102" s="2006"/>
      <c r="I102" s="2008"/>
      <c r="J102" s="2011"/>
      <c r="K102" s="1997"/>
      <c r="L102" s="1997"/>
      <c r="M102" s="1997"/>
      <c r="N102" s="2014"/>
      <c r="O102" s="1997"/>
      <c r="P102" s="1242"/>
      <c r="Q102" s="1080"/>
      <c r="R102" s="1080"/>
      <c r="S102" s="212"/>
      <c r="T102" s="212"/>
      <c r="U102" s="212"/>
      <c r="V102" s="212"/>
      <c r="W102" s="1081"/>
      <c r="X102" s="1046"/>
      <c r="Y102" s="1046"/>
      <c r="Z102" s="1046"/>
      <c r="AA102" s="1046"/>
      <c r="AB102" s="1046"/>
      <c r="AC102" s="1046"/>
      <c r="AD102" s="1046"/>
      <c r="AE102" s="1046"/>
      <c r="AF102" s="1046"/>
      <c r="AG102" s="1046"/>
      <c r="AH102" s="1046"/>
      <c r="AI102" s="1046"/>
      <c r="AJ102" s="1046"/>
      <c r="AK102" s="1046"/>
      <c r="AL102" s="1046"/>
      <c r="AM102" s="1046"/>
      <c r="AN102" s="1046"/>
      <c r="AO102" s="1046"/>
      <c r="AP102" s="1046"/>
      <c r="AQ102" s="1046"/>
    </row>
    <row r="103" spans="1:43" s="1653" customFormat="1" ht="17.25" hidden="1" customHeight="1">
      <c r="A103" s="201"/>
      <c r="C103" s="200"/>
      <c r="D103" s="1999"/>
      <c r="E103" s="2001"/>
      <c r="F103" s="2003"/>
      <c r="G103" s="2001"/>
      <c r="H103" s="2006"/>
      <c r="I103" s="2008"/>
      <c r="J103" s="2011"/>
      <c r="K103" s="1997"/>
      <c r="L103" s="1080"/>
      <c r="M103" s="1080"/>
      <c r="N103" s="1080"/>
      <c r="O103" s="1080"/>
      <c r="P103" s="1080"/>
      <c r="Q103" s="1080"/>
      <c r="R103" s="1080"/>
      <c r="S103" s="212"/>
      <c r="T103" s="212"/>
      <c r="U103" s="212"/>
      <c r="V103" s="212"/>
      <c r="W103" s="1081"/>
      <c r="X103" s="1046"/>
      <c r="Y103" s="1046"/>
      <c r="Z103" s="1046"/>
      <c r="AA103" s="1046"/>
      <c r="AB103" s="1046"/>
      <c r="AC103" s="1046"/>
      <c r="AD103" s="1046"/>
      <c r="AE103" s="1046"/>
      <c r="AF103" s="1046"/>
      <c r="AG103" s="1046"/>
      <c r="AH103" s="1046"/>
      <c r="AI103" s="1046"/>
      <c r="AJ103" s="1046"/>
      <c r="AK103" s="1046"/>
      <c r="AL103" s="1046"/>
      <c r="AM103" s="1046"/>
      <c r="AN103" s="1046"/>
      <c r="AO103" s="1046"/>
      <c r="AP103" s="1046"/>
      <c r="AQ103" s="1046"/>
    </row>
    <row r="104" spans="1:43" s="1653" customFormat="1" ht="17.25" hidden="1" customHeight="1">
      <c r="A104" s="201"/>
      <c r="C104" s="200"/>
      <c r="D104" s="1999"/>
      <c r="E104" s="2001"/>
      <c r="F104" s="2004"/>
      <c r="G104" s="2001"/>
      <c r="H104" s="1082"/>
      <c r="I104" s="1083"/>
      <c r="J104" s="1083"/>
      <c r="K104" s="1083"/>
      <c r="L104" s="1083"/>
      <c r="M104" s="1083"/>
      <c r="N104" s="1083"/>
      <c r="O104" s="1083"/>
      <c r="P104" s="1083"/>
      <c r="Q104" s="1083"/>
      <c r="R104" s="1083"/>
      <c r="S104" s="1084"/>
      <c r="T104" s="1084"/>
      <c r="U104" s="1084"/>
      <c r="V104" s="1084"/>
      <c r="W104" s="1085"/>
      <c r="X104" s="1046"/>
      <c r="Y104" s="1046"/>
      <c r="Z104" s="1046"/>
      <c r="AA104" s="1046"/>
      <c r="AB104" s="1046"/>
      <c r="AC104" s="1046"/>
      <c r="AD104" s="1046"/>
      <c r="AE104" s="1046"/>
      <c r="AF104" s="1046"/>
      <c r="AG104" s="1046"/>
      <c r="AH104" s="1046"/>
      <c r="AI104" s="1046"/>
      <c r="AJ104" s="1046"/>
      <c r="AK104" s="1046"/>
      <c r="AL104" s="1046"/>
      <c r="AM104" s="1046"/>
      <c r="AN104" s="1046"/>
      <c r="AO104" s="1046"/>
      <c r="AP104" s="1046"/>
      <c r="AQ104" s="1046"/>
    </row>
    <row r="105" spans="1:43" s="1653" customFormat="1" ht="11.25" hidden="1" customHeight="1">
      <c r="A105" s="152"/>
      <c r="B105" s="152"/>
      <c r="Y105" s="1046"/>
      <c r="Z105" s="1046"/>
      <c r="AA105" s="1046"/>
      <c r="AB105" s="1046"/>
      <c r="AC105" s="1046"/>
      <c r="AD105" s="1046"/>
      <c r="AE105" s="1046"/>
      <c r="AF105" s="1046"/>
      <c r="AG105" s="1046"/>
      <c r="AH105" s="1046"/>
      <c r="AI105" s="1046"/>
      <c r="AJ105" s="1046"/>
      <c r="AK105" s="1046"/>
      <c r="AL105" s="1046"/>
      <c r="AM105" s="1046"/>
      <c r="AN105" s="1046"/>
      <c r="AO105" s="1046"/>
      <c r="AP105" s="1046"/>
      <c r="AQ105" s="1046"/>
    </row>
    <row r="106" spans="1:43" s="1653" customFormat="1" ht="17.25" hidden="1" customHeight="1">
      <c r="A106" s="201"/>
      <c r="C106" s="109"/>
      <c r="D106" s="1998">
        <v>1</v>
      </c>
      <c r="E106" s="2000" t="s">
        <v>188</v>
      </c>
      <c r="F106" s="2002" t="s">
        <v>15</v>
      </c>
      <c r="G106" s="2000"/>
      <c r="H106" s="2005"/>
      <c r="I106" s="2007"/>
      <c r="J106" s="2009"/>
      <c r="K106" s="1996"/>
      <c r="L106" s="1996"/>
      <c r="M106" s="1996"/>
      <c r="N106" s="2012"/>
      <c r="O106" s="1996"/>
      <c r="P106" s="1996"/>
      <c r="Q106" s="1996"/>
      <c r="R106" s="2015"/>
      <c r="S106" s="1996"/>
      <c r="T106" s="1241"/>
      <c r="U106" s="1241"/>
      <c r="V106" s="1243"/>
      <c r="W106" s="1079"/>
      <c r="Y106" s="1050"/>
      <c r="Z106" s="1050"/>
      <c r="AA106" s="1050"/>
      <c r="AB106" s="1050"/>
      <c r="AC106" s="1050" t="s">
        <v>189</v>
      </c>
      <c r="AD106" s="1050" t="s">
        <v>190</v>
      </c>
      <c r="AE106" s="1050" t="s">
        <v>191</v>
      </c>
      <c r="AF106" s="1050" t="s">
        <v>192</v>
      </c>
      <c r="AG106" s="1050"/>
      <c r="AH106" s="1050" t="str">
        <f>IF($E$106=0,"",$E$106)</f>
        <v>Тариф на водоотведение</v>
      </c>
      <c r="AI106" s="1050" t="str">
        <f>IF($G$106=0,"",$G$106)</f>
        <v/>
      </c>
      <c r="AJ106" s="1050" t="str">
        <f>IF($J$106=0,"",$J$106)</f>
        <v/>
      </c>
      <c r="AK106" s="1050" t="str">
        <f>IF($K$106="нет","без дифференциации",IF($N$106=0,"",$N$106))</f>
        <v/>
      </c>
      <c r="AL106" s="1050" t="str">
        <f>IF($O$106="нет","без дифференциации",IF($R$106=0,"",$R$106))</f>
        <v/>
      </c>
      <c r="AM106" s="1050" t="str">
        <f>IF($S$106="нет","без дифференциации",IF($V$106=0,"",$V$106))</f>
        <v/>
      </c>
      <c r="AN106" s="1050">
        <f>$I$106</f>
        <v>0</v>
      </c>
      <c r="AO106" s="1050" t="str">
        <f>$I$106&amp;"."&amp;$M$106</f>
        <v>.</v>
      </c>
      <c r="AP106" s="1050" t="str">
        <f>$I$106&amp;"."&amp;$M$106&amp;"."&amp;$Q$106</f>
        <v>..</v>
      </c>
      <c r="AQ106" s="1050" t="str">
        <f>$I$106&amp;"."&amp;$M$106&amp;"."&amp;$Q$106&amp;"."&amp;$U$106</f>
        <v>...</v>
      </c>
    </row>
    <row r="107" spans="1:43" s="1653" customFormat="1" ht="17.25" hidden="1" customHeight="1">
      <c r="A107" s="201"/>
      <c r="C107" s="200"/>
      <c r="D107" s="1998"/>
      <c r="E107" s="2000"/>
      <c r="F107" s="2003"/>
      <c r="G107" s="2000"/>
      <c r="H107" s="2006"/>
      <c r="I107" s="2008"/>
      <c r="J107" s="2010"/>
      <c r="K107" s="1997"/>
      <c r="L107" s="1997"/>
      <c r="M107" s="1997"/>
      <c r="N107" s="2013"/>
      <c r="O107" s="1997"/>
      <c r="P107" s="1997"/>
      <c r="Q107" s="1997"/>
      <c r="R107" s="2014"/>
      <c r="S107" s="1997"/>
      <c r="T107" s="1080"/>
      <c r="U107" s="1080"/>
      <c r="V107" s="1080"/>
      <c r="W107" s="1081"/>
      <c r="Y107" s="1046"/>
      <c r="Z107" s="1046"/>
      <c r="AA107" s="1046"/>
      <c r="AB107" s="1046"/>
      <c r="AC107" s="1046"/>
      <c r="AD107" s="1046"/>
      <c r="AE107" s="1046"/>
      <c r="AF107" s="1046"/>
      <c r="AG107" s="1046"/>
      <c r="AH107" s="1046"/>
      <c r="AI107" s="1046"/>
      <c r="AJ107" s="1046"/>
      <c r="AK107" s="1046"/>
      <c r="AL107" s="1046"/>
      <c r="AM107" s="1046"/>
      <c r="AN107" s="1046"/>
      <c r="AO107" s="1046"/>
      <c r="AP107" s="1046"/>
      <c r="AQ107" s="1046"/>
    </row>
    <row r="108" spans="1:43" s="1653" customFormat="1" ht="17.25" hidden="1" customHeight="1">
      <c r="A108" s="201"/>
      <c r="C108" s="109"/>
      <c r="D108" s="1998"/>
      <c r="E108" s="2000"/>
      <c r="F108" s="2003"/>
      <c r="G108" s="2000"/>
      <c r="H108" s="2006"/>
      <c r="I108" s="2008"/>
      <c r="J108" s="2011"/>
      <c r="K108" s="1997"/>
      <c r="L108" s="1997"/>
      <c r="M108" s="1997"/>
      <c r="N108" s="2014"/>
      <c r="O108" s="1997"/>
      <c r="P108" s="1242"/>
      <c r="Q108" s="1080"/>
      <c r="R108" s="1080"/>
      <c r="S108" s="212"/>
      <c r="T108" s="212"/>
      <c r="U108" s="212"/>
      <c r="V108" s="212"/>
      <c r="W108" s="1081"/>
      <c r="Y108" s="1050"/>
      <c r="Z108" s="1050"/>
      <c r="AA108" s="1050"/>
      <c r="AB108" s="1050"/>
      <c r="AC108" s="1050"/>
      <c r="AD108" s="1050"/>
      <c r="AE108" s="1050"/>
      <c r="AF108" s="1050"/>
      <c r="AG108" s="1050"/>
      <c r="AH108" s="1050"/>
      <c r="AI108" s="1050"/>
      <c r="AJ108" s="1050"/>
      <c r="AK108" s="1050"/>
      <c r="AL108" s="1050"/>
      <c r="AM108" s="1050"/>
      <c r="AN108" s="1050"/>
      <c r="AO108" s="1050"/>
      <c r="AP108" s="1050"/>
      <c r="AQ108" s="1050"/>
    </row>
    <row r="109" spans="1:43" s="1653" customFormat="1" ht="17.25" hidden="1" customHeight="1">
      <c r="A109" s="201"/>
      <c r="C109" s="200"/>
      <c r="D109" s="1998"/>
      <c r="E109" s="2000"/>
      <c r="F109" s="2003"/>
      <c r="G109" s="2000"/>
      <c r="H109" s="2006"/>
      <c r="I109" s="2008"/>
      <c r="J109" s="2011"/>
      <c r="K109" s="1997"/>
      <c r="L109" s="1080"/>
      <c r="M109" s="1080"/>
      <c r="N109" s="1080"/>
      <c r="O109" s="1080"/>
      <c r="P109" s="1080"/>
      <c r="Q109" s="1080"/>
      <c r="R109" s="1080"/>
      <c r="S109" s="212"/>
      <c r="T109" s="212"/>
      <c r="U109" s="212"/>
      <c r="V109" s="212"/>
      <c r="W109" s="1081"/>
      <c r="Y109" s="1046"/>
      <c r="Z109" s="1046"/>
      <c r="AA109" s="1046"/>
      <c r="AB109" s="1046"/>
      <c r="AC109" s="1046"/>
      <c r="AD109" s="1046"/>
      <c r="AE109" s="1046"/>
      <c r="AF109" s="1046"/>
      <c r="AG109" s="1046"/>
      <c r="AH109" s="1046"/>
      <c r="AI109" s="1046"/>
      <c r="AJ109" s="1046"/>
      <c r="AK109" s="1046"/>
      <c r="AL109" s="1046"/>
      <c r="AM109" s="1046"/>
      <c r="AN109" s="1046"/>
      <c r="AO109" s="1046"/>
      <c r="AP109" s="1046"/>
      <c r="AQ109" s="1046"/>
    </row>
    <row r="110" spans="1:43" s="1653" customFormat="1" ht="17.25" hidden="1" customHeight="1">
      <c r="A110" s="201"/>
      <c r="C110" s="200"/>
      <c r="D110" s="1999"/>
      <c r="E110" s="2001"/>
      <c r="F110" s="2004"/>
      <c r="G110" s="2001"/>
      <c r="H110" s="1082"/>
      <c r="I110" s="1083"/>
      <c r="J110" s="1083"/>
      <c r="K110" s="1083"/>
      <c r="L110" s="1083"/>
      <c r="M110" s="1083"/>
      <c r="N110" s="1083"/>
      <c r="O110" s="1083"/>
      <c r="P110" s="1083"/>
      <c r="Q110" s="1083"/>
      <c r="R110" s="1083"/>
      <c r="S110" s="1084"/>
      <c r="T110" s="1084"/>
      <c r="U110" s="1084"/>
      <c r="V110" s="1084"/>
      <c r="W110" s="1085"/>
      <c r="Y110" s="1046"/>
      <c r="Z110" s="1046"/>
      <c r="AA110" s="1046"/>
      <c r="AB110" s="1046"/>
      <c r="AC110" s="1046"/>
      <c r="AD110" s="1046"/>
      <c r="AE110" s="1046"/>
      <c r="AF110" s="1046"/>
      <c r="AG110" s="1046"/>
      <c r="AH110" s="1046"/>
      <c r="AI110" s="1046"/>
      <c r="AJ110" s="1046"/>
      <c r="AK110" s="1046"/>
      <c r="AL110" s="1046"/>
      <c r="AM110" s="1046"/>
      <c r="AN110" s="1046"/>
      <c r="AO110" s="1046"/>
      <c r="AP110" s="1046"/>
      <c r="AQ110" s="1046"/>
    </row>
    <row r="111" spans="1:43" s="1653" customFormat="1" ht="17.25" hidden="1" customHeight="1">
      <c r="A111" s="201"/>
      <c r="C111" s="109"/>
      <c r="D111" s="1998">
        <v>2</v>
      </c>
      <c r="E111" s="2000" t="s">
        <v>193</v>
      </c>
      <c r="F111" s="2002" t="s">
        <v>15</v>
      </c>
      <c r="G111" s="2000"/>
      <c r="H111" s="2005"/>
      <c r="I111" s="2007"/>
      <c r="J111" s="2009"/>
      <c r="K111" s="1996"/>
      <c r="L111" s="1996"/>
      <c r="M111" s="1996"/>
      <c r="N111" s="2012"/>
      <c r="O111" s="1996"/>
      <c r="P111" s="1996"/>
      <c r="Q111" s="1996"/>
      <c r="R111" s="2015"/>
      <c r="S111" s="1996"/>
      <c r="T111" s="1241"/>
      <c r="U111" s="1241"/>
      <c r="V111" s="1243"/>
      <c r="W111" s="1079"/>
      <c r="X111" s="1050"/>
      <c r="Y111" s="1050"/>
      <c r="Z111" s="1050"/>
      <c r="AA111" s="1050"/>
      <c r="AB111" s="1050"/>
      <c r="AC111" s="1050" t="s">
        <v>194</v>
      </c>
      <c r="AD111" s="1050" t="s">
        <v>195</v>
      </c>
      <c r="AE111" s="1050" t="s">
        <v>196</v>
      </c>
      <c r="AF111" s="1050" t="s">
        <v>197</v>
      </c>
      <c r="AG111" s="1050"/>
      <c r="AH111" s="1050" t="str">
        <f>IF($E$111=0,"",$E$111)</f>
        <v>Тариф на транспортировку сточных вод</v>
      </c>
      <c r="AI111" s="1050" t="str">
        <f>IF($G$111=0,"",$G$111)</f>
        <v/>
      </c>
      <c r="AJ111" s="1050" t="str">
        <f>IF($J$111=0,"",$J$111)</f>
        <v/>
      </c>
      <c r="AK111" s="1050" t="str">
        <f>IF($K$111="нет","без дифференциации",IF($N$111=0,"",$N$111))</f>
        <v/>
      </c>
      <c r="AL111" s="1050" t="str">
        <f>IF($O$111="нет","без дифференциации",IF($R$111=0,"",$R$111))</f>
        <v/>
      </c>
      <c r="AM111" s="1050" t="str">
        <f>IF($S$111="нет","без дифференциации",IF($V$111=0,"",$V$111))</f>
        <v/>
      </c>
      <c r="AN111" s="1507">
        <f>$I$111</f>
        <v>0</v>
      </c>
      <c r="AO111" s="1050" t="str">
        <f>$I$111&amp;"."&amp;$M$111</f>
        <v>.</v>
      </c>
      <c r="AP111" s="1046" t="str">
        <f>$I$111&amp;"."&amp;$M$111&amp;"."&amp;$Q$111</f>
        <v>..</v>
      </c>
      <c r="AQ111" s="1046" t="str">
        <f>$I$111&amp;"."&amp;$M$111&amp;"."&amp;$Q$111&amp;"."&amp;$U$111</f>
        <v>...</v>
      </c>
    </row>
    <row r="112" spans="1:43" s="1653" customFormat="1" ht="17.25" hidden="1" customHeight="1">
      <c r="A112" s="201"/>
      <c r="C112" s="200"/>
      <c r="D112" s="1998"/>
      <c r="E112" s="2000"/>
      <c r="F112" s="2003"/>
      <c r="G112" s="2000"/>
      <c r="H112" s="2006"/>
      <c r="I112" s="2008"/>
      <c r="J112" s="2010"/>
      <c r="K112" s="1997"/>
      <c r="L112" s="1997"/>
      <c r="M112" s="1997"/>
      <c r="N112" s="2013"/>
      <c r="O112" s="1997"/>
      <c r="P112" s="1997"/>
      <c r="Q112" s="1997"/>
      <c r="R112" s="2014"/>
      <c r="S112" s="1997"/>
      <c r="T112" s="1080"/>
      <c r="U112" s="1080"/>
      <c r="V112" s="1080"/>
      <c r="W112" s="1081"/>
      <c r="X112" s="1046"/>
      <c r="Y112" s="1046"/>
      <c r="Z112" s="1046"/>
      <c r="AA112" s="1046"/>
      <c r="AB112" s="1046"/>
      <c r="AC112" s="1046"/>
      <c r="AD112" s="1046"/>
      <c r="AE112" s="1046"/>
      <c r="AF112" s="1046"/>
      <c r="AG112" s="1046"/>
      <c r="AH112" s="1046"/>
      <c r="AI112" s="1046"/>
      <c r="AJ112" s="1046"/>
      <c r="AK112" s="1046"/>
      <c r="AL112" s="1046"/>
      <c r="AM112" s="1046"/>
      <c r="AN112" s="1046"/>
      <c r="AO112" s="1046"/>
      <c r="AP112" s="1046"/>
      <c r="AQ112" s="1046"/>
    </row>
    <row r="113" spans="1:43" s="1653" customFormat="1" ht="17.25" hidden="1" customHeight="1">
      <c r="A113" s="201"/>
      <c r="C113" s="200"/>
      <c r="D113" s="1999"/>
      <c r="E113" s="2001"/>
      <c r="F113" s="2003"/>
      <c r="G113" s="2001"/>
      <c r="H113" s="2006"/>
      <c r="I113" s="2008"/>
      <c r="J113" s="2011"/>
      <c r="K113" s="1997"/>
      <c r="L113" s="1997"/>
      <c r="M113" s="1997"/>
      <c r="N113" s="2014"/>
      <c r="O113" s="1997"/>
      <c r="P113" s="1242"/>
      <c r="Q113" s="1080"/>
      <c r="R113" s="1080"/>
      <c r="S113" s="212"/>
      <c r="T113" s="212"/>
      <c r="U113" s="212"/>
      <c r="V113" s="212"/>
      <c r="W113" s="1081"/>
      <c r="X113" s="1046"/>
      <c r="Y113" s="1046"/>
      <c r="Z113" s="1046"/>
      <c r="AA113" s="1046"/>
      <c r="AB113" s="1046"/>
      <c r="AC113" s="1046"/>
      <c r="AD113" s="1046"/>
      <c r="AE113" s="1046"/>
      <c r="AF113" s="1046"/>
      <c r="AG113" s="1046"/>
      <c r="AH113" s="1046"/>
      <c r="AI113" s="1046"/>
      <c r="AJ113" s="1046"/>
      <c r="AK113" s="1046"/>
      <c r="AL113" s="1046"/>
      <c r="AM113" s="1046"/>
      <c r="AN113" s="1046"/>
      <c r="AO113" s="1046"/>
      <c r="AP113" s="1046"/>
      <c r="AQ113" s="1046"/>
    </row>
    <row r="114" spans="1:43" s="1653" customFormat="1" ht="17.25" hidden="1" customHeight="1">
      <c r="A114" s="201"/>
      <c r="C114" s="200"/>
      <c r="D114" s="1999"/>
      <c r="E114" s="2001"/>
      <c r="F114" s="2003"/>
      <c r="G114" s="2001"/>
      <c r="H114" s="2006"/>
      <c r="I114" s="2008"/>
      <c r="J114" s="2011"/>
      <c r="K114" s="1997"/>
      <c r="L114" s="1080"/>
      <c r="M114" s="1080"/>
      <c r="N114" s="1080"/>
      <c r="O114" s="1080"/>
      <c r="P114" s="1080"/>
      <c r="Q114" s="1080"/>
      <c r="R114" s="1080"/>
      <c r="S114" s="212"/>
      <c r="T114" s="212"/>
      <c r="U114" s="212"/>
      <c r="V114" s="212"/>
      <c r="W114" s="1081"/>
      <c r="X114" s="1046"/>
      <c r="Y114" s="1046"/>
      <c r="Z114" s="1046"/>
      <c r="AA114" s="1046"/>
      <c r="AB114" s="1046"/>
      <c r="AC114" s="1046"/>
      <c r="AD114" s="1046"/>
      <c r="AE114" s="1046"/>
      <c r="AF114" s="1046"/>
      <c r="AG114" s="1046"/>
      <c r="AH114" s="1046"/>
      <c r="AI114" s="1046"/>
      <c r="AJ114" s="1046"/>
      <c r="AK114" s="1046"/>
      <c r="AL114" s="1046"/>
      <c r="AM114" s="1046"/>
      <c r="AN114" s="1046"/>
      <c r="AO114" s="1046"/>
      <c r="AP114" s="1046"/>
      <c r="AQ114" s="1046"/>
    </row>
    <row r="115" spans="1:43" s="1653" customFormat="1" ht="17.25" hidden="1" customHeight="1">
      <c r="A115" s="201"/>
      <c r="C115" s="200"/>
      <c r="D115" s="1999"/>
      <c r="E115" s="2001"/>
      <c r="F115" s="2004"/>
      <c r="G115" s="2001"/>
      <c r="H115" s="1082"/>
      <c r="I115" s="1083"/>
      <c r="J115" s="1083"/>
      <c r="K115" s="1083"/>
      <c r="L115" s="1083"/>
      <c r="M115" s="1083"/>
      <c r="N115" s="1083"/>
      <c r="O115" s="1083"/>
      <c r="P115" s="1083"/>
      <c r="Q115" s="1083"/>
      <c r="R115" s="1083"/>
      <c r="S115" s="1084"/>
      <c r="T115" s="1084"/>
      <c r="U115" s="1084"/>
      <c r="V115" s="1084"/>
      <c r="W115" s="1085"/>
      <c r="X115" s="1046"/>
      <c r="Y115" s="1046"/>
      <c r="Z115" s="1046"/>
      <c r="AA115" s="1046"/>
      <c r="AB115" s="1046"/>
      <c r="AC115" s="1046"/>
      <c r="AD115" s="1046"/>
      <c r="AE115" s="1046"/>
      <c r="AF115" s="1046"/>
      <c r="AG115" s="1046"/>
      <c r="AH115" s="1046"/>
      <c r="AI115" s="1046"/>
      <c r="AJ115" s="1046"/>
      <c r="AK115" s="1046"/>
      <c r="AL115" s="1046"/>
      <c r="AM115" s="1046"/>
      <c r="AN115" s="1046"/>
      <c r="AO115" s="1046"/>
      <c r="AP115" s="1046"/>
      <c r="AQ115" s="1046"/>
    </row>
    <row r="116" spans="1:43" s="1653" customFormat="1" ht="17.25" hidden="1" customHeight="1">
      <c r="A116" s="201"/>
      <c r="C116" s="109"/>
      <c r="D116" s="1998">
        <v>3</v>
      </c>
      <c r="E116" s="2000" t="s">
        <v>198</v>
      </c>
      <c r="F116" s="2002" t="s">
        <v>15</v>
      </c>
      <c r="G116" s="2000"/>
      <c r="H116" s="2005"/>
      <c r="I116" s="2007"/>
      <c r="J116" s="2009"/>
      <c r="K116" s="1996"/>
      <c r="L116" s="1996"/>
      <c r="M116" s="1996"/>
      <c r="N116" s="2012"/>
      <c r="O116" s="1996"/>
      <c r="P116" s="1996"/>
      <c r="Q116" s="1996"/>
      <c r="R116" s="2015"/>
      <c r="S116" s="1996"/>
      <c r="T116" s="1241"/>
      <c r="U116" s="1241"/>
      <c r="V116" s="1243"/>
      <c r="W116" s="1079"/>
      <c r="X116" s="1050"/>
      <c r="Y116" s="1050"/>
      <c r="Z116" s="1050"/>
      <c r="AA116" s="1050"/>
      <c r="AB116" s="1050"/>
      <c r="AC116" s="1050" t="s">
        <v>199</v>
      </c>
      <c r="AD116" s="1050" t="s">
        <v>200</v>
      </c>
      <c r="AE116" s="1050" t="s">
        <v>201</v>
      </c>
      <c r="AF116" s="1050" t="s">
        <v>202</v>
      </c>
      <c r="AG116" s="1050"/>
      <c r="AH116" s="1050" t="str">
        <f>IF($E$116=0,"",$E$116)</f>
        <v>Тариф на подключение (технологическое присоединение) к централизованной системе водоотведения</v>
      </c>
      <c r="AI116" s="1050" t="str">
        <f>IF($G$116=0,"",$G$116)</f>
        <v/>
      </c>
      <c r="AJ116" s="1050" t="str">
        <f>IF($J$116=0,"",$J$116)</f>
        <v/>
      </c>
      <c r="AK116" s="1050" t="str">
        <f>IF($K$116="нет","без дифференциации",IF($N$116=0,"",$N$116))</f>
        <v/>
      </c>
      <c r="AL116" s="1050" t="str">
        <f>IF($O$116="нет","без дифференциации",IF($R$116=0,"",$R$116))</f>
        <v/>
      </c>
      <c r="AM116" s="1050" t="str">
        <f>IF($S$116="нет","без дифференциации",IF($V$116=0,"",$V$116))</f>
        <v/>
      </c>
      <c r="AN116" s="1507">
        <f>$I$116</f>
        <v>0</v>
      </c>
      <c r="AO116" s="1050" t="str">
        <f>$I$116&amp;"."&amp;$M$116</f>
        <v>.</v>
      </c>
      <c r="AP116" s="1046" t="str">
        <f>$I$116&amp;"."&amp;$M$116&amp;"."&amp;$Q$116</f>
        <v>..</v>
      </c>
      <c r="AQ116" s="1046" t="str">
        <f>$I$116&amp;"."&amp;$M$116&amp;"."&amp;$Q$116&amp;"."&amp;$U$116</f>
        <v>...</v>
      </c>
    </row>
    <row r="117" spans="1:43" s="1653" customFormat="1" ht="17.25" hidden="1" customHeight="1">
      <c r="A117" s="201"/>
      <c r="C117" s="200"/>
      <c r="D117" s="1998"/>
      <c r="E117" s="2000"/>
      <c r="F117" s="2003"/>
      <c r="G117" s="2000"/>
      <c r="H117" s="2006"/>
      <c r="I117" s="2008"/>
      <c r="J117" s="2010"/>
      <c r="K117" s="1997"/>
      <c r="L117" s="1997"/>
      <c r="M117" s="1997"/>
      <c r="N117" s="2013"/>
      <c r="O117" s="1997"/>
      <c r="P117" s="1997"/>
      <c r="Q117" s="1997"/>
      <c r="R117" s="2014"/>
      <c r="S117" s="1997"/>
      <c r="T117" s="1080"/>
      <c r="U117" s="1080"/>
      <c r="V117" s="1080"/>
      <c r="W117" s="1081"/>
      <c r="X117" s="1046"/>
      <c r="Y117" s="1046"/>
      <c r="Z117" s="1046"/>
      <c r="AA117" s="1046"/>
      <c r="AB117" s="1046"/>
      <c r="AC117" s="1046"/>
      <c r="AD117" s="1046"/>
      <c r="AE117" s="1046"/>
      <c r="AF117" s="1046"/>
      <c r="AG117" s="1046"/>
      <c r="AH117" s="1046"/>
      <c r="AI117" s="1046"/>
      <c r="AJ117" s="1046"/>
      <c r="AK117" s="1046"/>
      <c r="AL117" s="1046"/>
      <c r="AM117" s="1046"/>
      <c r="AN117" s="1046"/>
      <c r="AO117" s="1046"/>
      <c r="AP117" s="1046"/>
      <c r="AQ117" s="1046"/>
    </row>
    <row r="118" spans="1:43" s="1653" customFormat="1" ht="17.25" hidden="1" customHeight="1">
      <c r="A118" s="201"/>
      <c r="C118" s="200"/>
      <c r="D118" s="1999"/>
      <c r="E118" s="2001"/>
      <c r="F118" s="2003"/>
      <c r="G118" s="2001"/>
      <c r="H118" s="2006"/>
      <c r="I118" s="2008"/>
      <c r="J118" s="2011"/>
      <c r="K118" s="1997"/>
      <c r="L118" s="1997"/>
      <c r="M118" s="1997"/>
      <c r="N118" s="2014"/>
      <c r="O118" s="1997"/>
      <c r="P118" s="1242"/>
      <c r="Q118" s="1080"/>
      <c r="R118" s="1080"/>
      <c r="S118" s="212"/>
      <c r="T118" s="212"/>
      <c r="U118" s="212"/>
      <c r="V118" s="212"/>
      <c r="W118" s="1081"/>
      <c r="X118" s="1046"/>
      <c r="Y118" s="1046"/>
      <c r="Z118" s="1046"/>
      <c r="AA118" s="1046"/>
      <c r="AB118" s="1046"/>
      <c r="AC118" s="1046"/>
      <c r="AD118" s="1046"/>
      <c r="AE118" s="1046"/>
      <c r="AF118" s="1046"/>
      <c r="AG118" s="1046"/>
      <c r="AH118" s="1046"/>
      <c r="AI118" s="1046"/>
      <c r="AJ118" s="1046"/>
      <c r="AK118" s="1046"/>
      <c r="AL118" s="1046"/>
      <c r="AM118" s="1046"/>
      <c r="AN118" s="1046"/>
      <c r="AO118" s="1046"/>
      <c r="AP118" s="1046"/>
      <c r="AQ118" s="1046"/>
    </row>
    <row r="119" spans="1:43" s="1653" customFormat="1" ht="17.25" hidden="1" customHeight="1">
      <c r="A119" s="201"/>
      <c r="C119" s="200"/>
      <c r="D119" s="1999"/>
      <c r="E119" s="2001"/>
      <c r="F119" s="2003"/>
      <c r="G119" s="2001"/>
      <c r="H119" s="2006"/>
      <c r="I119" s="2008"/>
      <c r="J119" s="2011"/>
      <c r="K119" s="1997"/>
      <c r="L119" s="1080"/>
      <c r="M119" s="1080"/>
      <c r="N119" s="1080"/>
      <c r="O119" s="1080"/>
      <c r="P119" s="1080"/>
      <c r="Q119" s="1080"/>
      <c r="R119" s="1080"/>
      <c r="S119" s="212"/>
      <c r="T119" s="212"/>
      <c r="U119" s="212"/>
      <c r="V119" s="212"/>
      <c r="W119" s="1081"/>
      <c r="X119" s="1046"/>
      <c r="Y119" s="1046"/>
      <c r="Z119" s="1046"/>
      <c r="AA119" s="1046"/>
      <c r="AB119" s="1046"/>
      <c r="AC119" s="1046"/>
      <c r="AD119" s="1046"/>
      <c r="AE119" s="1046"/>
      <c r="AF119" s="1046"/>
      <c r="AG119" s="1046"/>
      <c r="AH119" s="1046"/>
      <c r="AI119" s="1046"/>
      <c r="AJ119" s="1046"/>
      <c r="AK119" s="1046"/>
      <c r="AL119" s="1046"/>
      <c r="AM119" s="1046"/>
      <c r="AN119" s="1046"/>
      <c r="AO119" s="1046"/>
      <c r="AP119" s="1046"/>
      <c r="AQ119" s="1046"/>
    </row>
    <row r="120" spans="1:43" s="1653" customFormat="1" ht="17.25" hidden="1" customHeight="1">
      <c r="A120" s="201"/>
      <c r="C120" s="200"/>
      <c r="D120" s="1999"/>
      <c r="E120" s="2001"/>
      <c r="F120" s="2004"/>
      <c r="G120" s="2001"/>
      <c r="H120" s="1082"/>
      <c r="I120" s="1083"/>
      <c r="J120" s="1083"/>
      <c r="K120" s="1083"/>
      <c r="L120" s="1083"/>
      <c r="M120" s="1083"/>
      <c r="N120" s="1083"/>
      <c r="O120" s="1083"/>
      <c r="P120" s="1083"/>
      <c r="Q120" s="1083"/>
      <c r="R120" s="1083"/>
      <c r="S120" s="1084"/>
      <c r="T120" s="1084"/>
      <c r="U120" s="1084"/>
      <c r="V120" s="1084"/>
      <c r="W120" s="1085"/>
      <c r="X120" s="1046"/>
      <c r="Y120" s="1046"/>
      <c r="Z120" s="1046"/>
      <c r="AA120" s="1046"/>
      <c r="AB120" s="1046"/>
      <c r="AC120" s="1046"/>
      <c r="AD120" s="1046"/>
      <c r="AE120" s="1046"/>
      <c r="AF120" s="1046"/>
      <c r="AG120" s="1046"/>
      <c r="AH120" s="1046"/>
      <c r="AI120" s="1046"/>
      <c r="AJ120" s="1046"/>
      <c r="AK120" s="1046"/>
      <c r="AL120" s="1046"/>
      <c r="AM120" s="1046"/>
      <c r="AN120" s="1046"/>
      <c r="AO120" s="1046"/>
      <c r="AP120" s="1046"/>
      <c r="AQ120" s="1046"/>
    </row>
    <row r="124" spans="1:43" ht="11.25" customHeight="1">
      <c r="E124" s="1131"/>
    </row>
    <row r="125" spans="1:43" ht="11.25" customHeight="1">
      <c r="E125" s="1131"/>
    </row>
    <row r="126" spans="1:43" ht="11.25" customHeight="1">
      <c r="E126" s="1131"/>
    </row>
    <row r="127" spans="1:43" ht="11.25" customHeight="1">
      <c r="E127" s="1131"/>
    </row>
    <row r="128" spans="1:43" ht="11.25" customHeight="1">
      <c r="E128" s="1131"/>
    </row>
    <row r="129" spans="5:5" ht="11.25" customHeight="1">
      <c r="E129" s="1131"/>
    </row>
    <row r="130" spans="5:5" ht="11.25" customHeight="1">
      <c r="E130" s="1131"/>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sheetPr>
    <tabColor rgb="FFCCCCFF"/>
  </sheetPr>
  <dimension ref="A1:BL49"/>
  <sheetViews>
    <sheetView showGridLines="0" topLeftCell="C3" zoomScale="90" workbookViewId="0"/>
  </sheetViews>
  <sheetFormatPr defaultColWidth="9.140625" defaultRowHeight="11.25" customHeight="1"/>
  <cols>
    <col min="1" max="2" width="9.140625" style="1640" hidden="1"/>
    <col min="3" max="4" width="3.7109375" style="1640" customWidth="1"/>
    <col min="5" max="6" width="16" style="1640" customWidth="1"/>
    <col min="7" max="7" width="11.5703125" style="1640" customWidth="1"/>
    <col min="8" max="9" width="3.7109375" style="1640" customWidth="1"/>
    <col min="10" max="10" width="13.140625" style="1640" customWidth="1"/>
    <col min="11" max="11" width="0.28515625" style="1640" customWidth="1"/>
    <col min="12" max="13" width="10.7109375" style="1640" customWidth="1"/>
    <col min="14" max="15" width="3.7109375" style="1640" customWidth="1"/>
    <col min="16" max="16" width="19.7109375" style="1640" customWidth="1"/>
    <col min="17" max="17" width="0.28515625" style="1640" customWidth="1"/>
    <col min="18" max="19" width="10.7109375" style="1640" customWidth="1"/>
    <col min="20" max="21" width="3.7109375" style="1640" customWidth="1"/>
    <col min="22" max="22" width="25.7109375" style="1640" customWidth="1"/>
    <col min="23" max="23" width="0.28515625" style="1640" customWidth="1"/>
    <col min="24" max="25" width="10.7109375" style="1640" customWidth="1"/>
    <col min="26" max="27" width="3.7109375" style="1640" customWidth="1"/>
    <col min="28" max="28" width="16.42578125" style="1640" customWidth="1"/>
    <col min="29" max="29" width="0.28515625" style="1640" customWidth="1"/>
    <col min="30" max="31" width="10.7109375" style="1640" customWidth="1"/>
    <col min="32" max="33" width="3.7109375" style="1640" customWidth="1"/>
    <col min="34" max="34" width="8.7109375" style="1640" customWidth="1"/>
    <col min="35" max="35" width="21.7109375" style="1640" customWidth="1"/>
    <col min="36" max="36" width="9.140625" style="1633"/>
    <col min="37" max="37" width="9.140625" style="1659"/>
    <col min="38" max="64" width="9.140625" style="1633"/>
  </cols>
  <sheetData>
    <row r="1" spans="1:64" s="1634" customFormat="1" ht="11.25" hidden="1" customHeight="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row>
    <row r="2" spans="1:64" s="1657" customFormat="1" ht="11.25" hidden="1" customHeight="1">
      <c r="L2" s="1331" t="s">
        <v>203</v>
      </c>
      <c r="M2" s="1331" t="s">
        <v>204</v>
      </c>
      <c r="R2" s="1331" t="s">
        <v>205</v>
      </c>
      <c r="S2" s="1331" t="s">
        <v>204</v>
      </c>
      <c r="X2" s="1331" t="s">
        <v>203</v>
      </c>
      <c r="Y2" s="1331" t="s">
        <v>204</v>
      </c>
      <c r="AD2" s="1331" t="s">
        <v>203</v>
      </c>
      <c r="AE2" s="1331" t="s">
        <v>204</v>
      </c>
      <c r="AJ2" s="1352"/>
      <c r="AK2" s="1352"/>
      <c r="AL2" s="1352"/>
      <c r="AM2" s="1352"/>
      <c r="AN2" s="1352"/>
      <c r="AO2" s="1352"/>
      <c r="AP2" s="1352"/>
      <c r="AQ2" s="1352"/>
      <c r="AR2" s="1352"/>
      <c r="AS2" s="1352"/>
      <c r="AT2" s="1352"/>
      <c r="AU2" s="1352"/>
      <c r="AV2" s="1352"/>
      <c r="AW2" s="1352"/>
      <c r="AX2" s="1352"/>
      <c r="AY2" s="1352"/>
      <c r="AZ2" s="1352"/>
      <c r="BA2" s="1352"/>
      <c r="BB2" s="1352"/>
      <c r="BC2" s="1352"/>
      <c r="BD2" s="1352"/>
      <c r="BE2" s="1352"/>
      <c r="BF2" s="1352"/>
      <c r="BG2" s="1352"/>
      <c r="BH2" s="1352"/>
      <c r="BI2" s="1352"/>
      <c r="BJ2" s="1352"/>
      <c r="BK2" s="1352"/>
      <c r="BL2" s="1352"/>
    </row>
    <row r="3" spans="1:64" s="1658" customFormat="1" ht="11.25" customHeight="1">
      <c r="AJ3" s="1351"/>
      <c r="AK3" s="182"/>
      <c r="AL3" s="1351"/>
      <c r="AM3" s="1351"/>
      <c r="AN3" s="1351"/>
      <c r="AO3" s="1351"/>
      <c r="AP3" s="1351"/>
      <c r="AQ3" s="1351"/>
      <c r="AR3" s="1351"/>
      <c r="AS3" s="1351"/>
      <c r="AT3" s="1351"/>
      <c r="AU3" s="1351"/>
      <c r="AV3" s="1351"/>
      <c r="AW3" s="1351"/>
      <c r="AX3" s="1351"/>
      <c r="AY3" s="1351"/>
      <c r="AZ3" s="1351"/>
      <c r="BA3" s="1351"/>
      <c r="BB3" s="1351"/>
      <c r="BC3" s="1351"/>
      <c r="BD3" s="1351"/>
      <c r="BE3" s="1351"/>
      <c r="BF3" s="1351"/>
      <c r="BG3" s="1351"/>
      <c r="BH3" s="1351"/>
      <c r="BI3" s="1351"/>
      <c r="BJ3" s="1351"/>
      <c r="BK3" s="1351"/>
      <c r="BL3" s="1351"/>
    </row>
    <row r="4" spans="1:64" s="1631" customFormat="1" ht="33" customHeight="1">
      <c r="A4" s="925"/>
      <c r="B4" s="924"/>
      <c r="C4" s="1285"/>
      <c r="D4" s="2035" t="s">
        <v>206</v>
      </c>
      <c r="E4" s="2035"/>
      <c r="F4" s="2035"/>
      <c r="G4" s="2035"/>
      <c r="H4" s="2035"/>
      <c r="I4" s="2035"/>
      <c r="J4" s="2035"/>
      <c r="K4" s="528"/>
      <c r="T4" s="1332"/>
      <c r="AJ4" s="1353"/>
      <c r="AK4" s="1354"/>
      <c r="AL4" s="1353"/>
      <c r="AM4" s="1353"/>
      <c r="AN4" s="1353"/>
      <c r="AO4" s="1353"/>
      <c r="AP4" s="1353"/>
      <c r="AQ4" s="1353"/>
      <c r="AR4" s="1353"/>
      <c r="AS4" s="1353"/>
      <c r="AT4" s="1353"/>
      <c r="AU4" s="1353"/>
      <c r="AV4" s="1353"/>
      <c r="AW4" s="1353"/>
      <c r="AX4" s="1353"/>
      <c r="AY4" s="1353"/>
      <c r="AZ4" s="1353"/>
      <c r="BA4" s="1353"/>
      <c r="BB4" s="1353"/>
      <c r="BC4" s="1353"/>
      <c r="BD4" s="1353"/>
      <c r="BE4" s="1353"/>
      <c r="BF4" s="1353"/>
      <c r="BG4" s="1353"/>
      <c r="BH4" s="1353"/>
      <c r="BI4" s="1353"/>
      <c r="BJ4" s="1353"/>
      <c r="BK4" s="1353"/>
      <c r="BL4" s="1353"/>
    </row>
    <row r="5" spans="1:64" s="1662" customFormat="1" ht="14.25" customHeight="1">
      <c r="A5" s="1402"/>
      <c r="B5" s="1401"/>
      <c r="C5" s="1285"/>
      <c r="D5" s="2059" t="e">
        <f>IF(org=0,"Не определено",org)</f>
        <v>#REF!</v>
      </c>
      <c r="E5" s="2059"/>
      <c r="F5" s="2059"/>
      <c r="G5" s="2059"/>
      <c r="H5" s="2059"/>
      <c r="I5" s="2059"/>
      <c r="J5" s="2059"/>
      <c r="K5" s="528"/>
      <c r="T5" s="1332"/>
      <c r="AJ5" s="1353"/>
      <c r="AK5" s="1354"/>
      <c r="AL5" s="1353"/>
      <c r="AM5" s="1353"/>
      <c r="AN5" s="1353"/>
      <c r="AO5" s="1353"/>
      <c r="AP5" s="1353"/>
      <c r="AQ5" s="1353"/>
      <c r="AR5" s="1353"/>
      <c r="AS5" s="1353"/>
      <c r="AT5" s="1353"/>
      <c r="AU5" s="1353"/>
      <c r="AV5" s="1353"/>
      <c r="AW5" s="1353"/>
      <c r="AX5" s="1353"/>
      <c r="AY5" s="1353"/>
      <c r="AZ5" s="1353"/>
      <c r="BA5" s="1353"/>
      <c r="BB5" s="1353"/>
      <c r="BC5" s="1353"/>
      <c r="BD5" s="1353"/>
      <c r="BE5" s="1353"/>
      <c r="BF5" s="1353"/>
      <c r="BG5" s="1353"/>
      <c r="BH5" s="1353"/>
      <c r="BI5" s="1353"/>
      <c r="BJ5" s="1353"/>
      <c r="BK5" s="1353"/>
      <c r="BL5" s="1353"/>
    </row>
    <row r="6" spans="1:64" s="1631" customFormat="1" ht="14.25" customHeight="1">
      <c r="A6" s="925"/>
      <c r="B6" s="924"/>
      <c r="C6" s="1285"/>
      <c r="D6" s="528"/>
      <c r="E6" s="528"/>
      <c r="F6" s="528"/>
      <c r="G6" s="528"/>
      <c r="H6" s="528"/>
      <c r="I6" s="528"/>
      <c r="J6" s="528"/>
      <c r="K6" s="528"/>
      <c r="T6" s="1332"/>
      <c r="AJ6" s="1353"/>
      <c r="AK6" s="1354"/>
      <c r="AL6" s="1353"/>
      <c r="AM6" s="1353"/>
      <c r="AN6" s="1353"/>
      <c r="AO6" s="1353"/>
      <c r="AP6" s="1353"/>
      <c r="AQ6" s="1353"/>
      <c r="AR6" s="1353"/>
      <c r="AS6" s="1353"/>
      <c r="AT6" s="1353"/>
      <c r="AU6" s="1353"/>
      <c r="AV6" s="1353"/>
      <c r="AW6" s="1353"/>
      <c r="AX6" s="1353"/>
      <c r="AY6" s="1353"/>
      <c r="AZ6" s="1353"/>
      <c r="BA6" s="1353"/>
      <c r="BB6" s="1353"/>
      <c r="BC6" s="1353"/>
      <c r="BD6" s="1353"/>
      <c r="BE6" s="1353"/>
      <c r="BF6" s="1353"/>
      <c r="BG6" s="1353"/>
      <c r="BH6" s="1353"/>
      <c r="BI6" s="1353"/>
      <c r="BJ6" s="1353"/>
      <c r="BK6" s="1353"/>
      <c r="BL6" s="1353"/>
    </row>
    <row r="7" spans="1:64" s="1634" customFormat="1" ht="0.75" customHeight="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row>
    <row r="8" spans="1:64" ht="31.5" customHeight="1">
      <c r="D8" s="2025" t="s">
        <v>22</v>
      </c>
      <c r="E8" s="2025" t="s">
        <v>39</v>
      </c>
      <c r="F8" s="2037" t="s">
        <v>60</v>
      </c>
      <c r="G8" s="2038"/>
      <c r="H8" s="2037" t="s">
        <v>22</v>
      </c>
      <c r="I8" s="2038"/>
      <c r="J8" s="2025" t="s">
        <v>61</v>
      </c>
      <c r="K8" s="1333"/>
      <c r="L8" s="2036" t="s">
        <v>207</v>
      </c>
      <c r="M8" s="2036"/>
      <c r="N8" s="2036"/>
      <c r="O8" s="2036"/>
      <c r="P8" s="2036"/>
      <c r="Q8" s="1334"/>
      <c r="R8" s="1956" t="s">
        <v>208</v>
      </c>
      <c r="S8" s="1957"/>
      <c r="T8" s="1957"/>
      <c r="U8" s="1957"/>
      <c r="V8" s="1957"/>
      <c r="W8" s="1334"/>
      <c r="X8" s="2025" t="s">
        <v>209</v>
      </c>
      <c r="Y8" s="2025"/>
      <c r="Z8" s="2025"/>
      <c r="AA8" s="2025"/>
      <c r="AB8" s="2025"/>
      <c r="AC8" s="1335"/>
      <c r="AD8" s="2025" t="s">
        <v>210</v>
      </c>
      <c r="AE8" s="2025"/>
      <c r="AF8" s="2025"/>
      <c r="AG8" s="2025"/>
      <c r="AH8" s="1956"/>
      <c r="AI8" s="2025" t="s">
        <v>211</v>
      </c>
      <c r="AJ8" s="1351"/>
    </row>
    <row r="9" spans="1:64" ht="22.5" customHeight="1">
      <c r="D9" s="2025"/>
      <c r="E9" s="2025"/>
      <c r="F9" s="2036" t="s">
        <v>23</v>
      </c>
      <c r="G9" s="2036" t="s">
        <v>66</v>
      </c>
      <c r="H9" s="2039"/>
      <c r="I9" s="2040"/>
      <c r="J9" s="1956"/>
      <c r="K9" s="1336"/>
      <c r="L9" s="2025" t="s">
        <v>212</v>
      </c>
      <c r="M9" s="1956"/>
      <c r="N9" s="2037" t="s">
        <v>22</v>
      </c>
      <c r="O9" s="2038"/>
      <c r="P9" s="2025" t="s">
        <v>67</v>
      </c>
      <c r="Q9" s="1333"/>
      <c r="R9" s="2025" t="s">
        <v>212</v>
      </c>
      <c r="S9" s="1956"/>
      <c r="T9" s="2037" t="s">
        <v>22</v>
      </c>
      <c r="U9" s="2038"/>
      <c r="V9" s="2025" t="s">
        <v>67</v>
      </c>
      <c r="W9" s="1333"/>
      <c r="X9" s="2025" t="s">
        <v>212</v>
      </c>
      <c r="Y9" s="1956"/>
      <c r="Z9" s="2037" t="s">
        <v>22</v>
      </c>
      <c r="AA9" s="2038"/>
      <c r="AB9" s="2025" t="s">
        <v>213</v>
      </c>
      <c r="AC9" s="1333"/>
      <c r="AD9" s="2025" t="s">
        <v>212</v>
      </c>
      <c r="AE9" s="1956"/>
      <c r="AF9" s="2037" t="s">
        <v>22</v>
      </c>
      <c r="AG9" s="2038"/>
      <c r="AH9" s="1956" t="s">
        <v>213</v>
      </c>
      <c r="AI9" s="2025"/>
      <c r="AJ9" s="1351"/>
    </row>
    <row r="10" spans="1:64" ht="22.5" customHeight="1">
      <c r="D10" s="2036"/>
      <c r="E10" s="2036"/>
      <c r="F10" s="2041"/>
      <c r="G10" s="2041"/>
      <c r="H10" s="2042"/>
      <c r="I10" s="2043"/>
      <c r="J10" s="2037"/>
      <c r="K10" s="1336"/>
      <c r="L10" s="1355" t="s">
        <v>214</v>
      </c>
      <c r="M10" s="1350" t="s">
        <v>215</v>
      </c>
      <c r="N10" s="2039"/>
      <c r="O10" s="2040"/>
      <c r="P10" s="2036"/>
      <c r="Q10" s="1333"/>
      <c r="R10" s="1355" t="s">
        <v>214</v>
      </c>
      <c r="S10" s="1350" t="s">
        <v>215</v>
      </c>
      <c r="T10" s="2039"/>
      <c r="U10" s="2040"/>
      <c r="V10" s="2036"/>
      <c r="W10" s="1333"/>
      <c r="X10" s="1355" t="s">
        <v>214</v>
      </c>
      <c r="Y10" s="1350" t="s">
        <v>215</v>
      </c>
      <c r="Z10" s="2039"/>
      <c r="AA10" s="2040"/>
      <c r="AB10" s="2036"/>
      <c r="AC10" s="1333"/>
      <c r="AD10" s="1355" t="s">
        <v>214</v>
      </c>
      <c r="AE10" s="1350" t="s">
        <v>215</v>
      </c>
      <c r="AF10" s="2039"/>
      <c r="AG10" s="2040"/>
      <c r="AH10" s="2037"/>
      <c r="AI10" s="2036"/>
      <c r="AJ10" s="1351"/>
      <c r="AK10" s="134" t="s">
        <v>216</v>
      </c>
      <c r="AL10" s="134" t="s">
        <v>68</v>
      </c>
    </row>
    <row r="11" spans="1:64" ht="14.25" customHeight="1">
      <c r="D11" s="2044" t="s">
        <v>43</v>
      </c>
      <c r="E11" s="2046" t="s">
        <v>217</v>
      </c>
      <c r="F11" s="2046" t="s">
        <v>218</v>
      </c>
      <c r="G11" s="2049" t="s">
        <v>15</v>
      </c>
      <c r="H11" s="1376"/>
      <c r="I11" s="2052"/>
      <c r="J11" s="2009"/>
      <c r="K11" s="1284"/>
      <c r="L11" s="1996"/>
      <c r="M11" s="1996"/>
      <c r="N11" s="1361"/>
      <c r="O11" s="1996"/>
      <c r="P11" s="2009"/>
      <c r="Q11" s="1362"/>
      <c r="R11" s="1996"/>
      <c r="S11" s="1996"/>
      <c r="T11" s="1363"/>
      <c r="U11" s="1996"/>
      <c r="V11" s="2009"/>
      <c r="W11" s="1364"/>
      <c r="X11" s="1996"/>
      <c r="Y11" s="1996"/>
      <c r="Z11" s="1361"/>
      <c r="AA11" s="1996"/>
      <c r="AB11" s="2009"/>
      <c r="AC11" s="1365"/>
      <c r="AD11" s="1996"/>
      <c r="AE11" s="1996"/>
      <c r="AF11" s="1283"/>
      <c r="AG11" s="1283"/>
      <c r="AH11" s="1366"/>
      <c r="AI11" s="1079"/>
      <c r="AJ11" s="1351"/>
    </row>
    <row r="12" spans="1:64" ht="14.25" customHeight="1">
      <c r="D12" s="2044"/>
      <c r="E12" s="2046"/>
      <c r="F12" s="2046"/>
      <c r="G12" s="2050"/>
      <c r="H12" s="1377"/>
      <c r="I12" s="2053"/>
      <c r="J12" s="2010"/>
      <c r="K12" s="1385"/>
      <c r="L12" s="1997"/>
      <c r="M12" s="1997"/>
      <c r="N12" s="1367"/>
      <c r="O12" s="1997"/>
      <c r="P12" s="2010"/>
      <c r="Q12" s="1368"/>
      <c r="R12" s="1997"/>
      <c r="S12" s="1997"/>
      <c r="T12" s="1369"/>
      <c r="U12" s="1997"/>
      <c r="V12" s="2010"/>
      <c r="W12" s="1370"/>
      <c r="X12" s="1997"/>
      <c r="Y12" s="1997"/>
      <c r="Z12" s="1367"/>
      <c r="AA12" s="1997"/>
      <c r="AB12" s="2010"/>
      <c r="AC12" s="1371"/>
      <c r="AD12" s="1997"/>
      <c r="AE12" s="1997"/>
      <c r="AF12" s="1372"/>
      <c r="AG12" s="1372"/>
      <c r="AH12" s="2056"/>
      <c r="AI12" s="2057"/>
      <c r="AJ12" s="1351"/>
    </row>
    <row r="13" spans="1:64" ht="14.25" customHeight="1">
      <c r="D13" s="2044"/>
      <c r="E13" s="2046"/>
      <c r="F13" s="2046"/>
      <c r="G13" s="2050"/>
      <c r="H13" s="1377"/>
      <c r="I13" s="2053"/>
      <c r="J13" s="2010"/>
      <c r="K13" s="1385"/>
      <c r="L13" s="1997"/>
      <c r="M13" s="1997"/>
      <c r="N13" s="1367"/>
      <c r="O13" s="1997"/>
      <c r="P13" s="2010"/>
      <c r="Q13" s="1368"/>
      <c r="R13" s="1997"/>
      <c r="S13" s="1997"/>
      <c r="T13" s="1369"/>
      <c r="U13" s="1997"/>
      <c r="V13" s="2010"/>
      <c r="W13" s="1370"/>
      <c r="X13" s="1997"/>
      <c r="Y13" s="1997"/>
      <c r="Z13" s="1282"/>
      <c r="AA13" s="1372"/>
      <c r="AB13" s="2056"/>
      <c r="AC13" s="2056"/>
      <c r="AD13" s="2056"/>
      <c r="AE13" s="2056"/>
      <c r="AF13" s="2056"/>
      <c r="AG13" s="2056"/>
      <c r="AH13" s="2056"/>
      <c r="AI13" s="2057"/>
      <c r="AJ13" s="1351"/>
    </row>
    <row r="14" spans="1:64" ht="14.25" customHeight="1">
      <c r="D14" s="2044"/>
      <c r="E14" s="2046"/>
      <c r="F14" s="2046"/>
      <c r="G14" s="2050"/>
      <c r="H14" s="1377"/>
      <c r="I14" s="2053"/>
      <c r="J14" s="2010"/>
      <c r="K14" s="1385"/>
      <c r="L14" s="1997"/>
      <c r="M14" s="1997"/>
      <c r="N14" s="1367"/>
      <c r="O14" s="1997"/>
      <c r="P14" s="2010"/>
      <c r="Q14" s="1368"/>
      <c r="R14" s="1997"/>
      <c r="S14" s="1997"/>
      <c r="T14" s="1373"/>
      <c r="U14" s="1374"/>
      <c r="V14" s="2056"/>
      <c r="W14" s="2056"/>
      <c r="X14" s="2056"/>
      <c r="Y14" s="2056"/>
      <c r="Z14" s="2056"/>
      <c r="AA14" s="2056"/>
      <c r="AB14" s="2056"/>
      <c r="AC14" s="2056"/>
      <c r="AD14" s="2056"/>
      <c r="AE14" s="2056"/>
      <c r="AF14" s="2056"/>
      <c r="AG14" s="2056"/>
      <c r="AH14" s="2056"/>
      <c r="AI14" s="2057"/>
      <c r="AJ14" s="1351"/>
    </row>
    <row r="15" spans="1:64" ht="11.25" customHeight="1">
      <c r="D15" s="2044"/>
      <c r="E15" s="2046"/>
      <c r="F15" s="2046"/>
      <c r="G15" s="2050"/>
      <c r="H15" s="1378"/>
      <c r="I15" s="2053"/>
      <c r="J15" s="2010"/>
      <c r="K15" s="1385"/>
      <c r="L15" s="1997"/>
      <c r="M15" s="1997"/>
      <c r="N15" s="1372"/>
      <c r="O15" s="1372"/>
      <c r="P15" s="2056"/>
      <c r="Q15" s="2056"/>
      <c r="R15" s="2056"/>
      <c r="S15" s="2056"/>
      <c r="T15" s="2056"/>
      <c r="U15" s="2056"/>
      <c r="V15" s="2056"/>
      <c r="W15" s="2056"/>
      <c r="X15" s="2056"/>
      <c r="Y15" s="2056"/>
      <c r="Z15" s="2056"/>
      <c r="AA15" s="2056"/>
      <c r="AB15" s="2056"/>
      <c r="AC15" s="2056"/>
      <c r="AD15" s="2056"/>
      <c r="AE15" s="2056"/>
      <c r="AF15" s="2056"/>
      <c r="AG15" s="2056"/>
      <c r="AH15" s="2056"/>
      <c r="AI15" s="2057"/>
      <c r="AJ15" s="1351"/>
    </row>
    <row r="16" spans="1:64" s="1658" customFormat="1" ht="11.25" customHeight="1">
      <c r="D16" s="2045"/>
      <c r="E16" s="2047"/>
      <c r="F16" s="2048"/>
      <c r="G16" s="2051"/>
      <c r="H16" s="1375"/>
      <c r="I16" s="1379"/>
      <c r="J16" s="2054"/>
      <c r="K16" s="2054"/>
      <c r="L16" s="2054"/>
      <c r="M16" s="2054"/>
      <c r="N16" s="2054"/>
      <c r="O16" s="2054"/>
      <c r="P16" s="2054"/>
      <c r="Q16" s="2054"/>
      <c r="R16" s="2054"/>
      <c r="S16" s="2054"/>
      <c r="T16" s="2054"/>
      <c r="U16" s="2054"/>
      <c r="V16" s="2054"/>
      <c r="W16" s="2054"/>
      <c r="X16" s="2054"/>
      <c r="Y16" s="2054"/>
      <c r="Z16" s="2054"/>
      <c r="AA16" s="2054"/>
      <c r="AB16" s="2054"/>
      <c r="AC16" s="2054"/>
      <c r="AD16" s="2054"/>
      <c r="AE16" s="2054"/>
      <c r="AF16" s="2054"/>
      <c r="AG16" s="2054"/>
      <c r="AH16" s="2054"/>
      <c r="AI16" s="2055"/>
      <c r="AJ16" s="1351"/>
      <c r="AK16" s="182"/>
      <c r="AL16" s="1351"/>
      <c r="AM16" s="1351"/>
      <c r="AN16" s="1351"/>
      <c r="AO16" s="1351"/>
      <c r="AP16" s="1351"/>
      <c r="AQ16" s="1351"/>
      <c r="AR16" s="1351"/>
      <c r="AS16" s="1351"/>
      <c r="AT16" s="1351"/>
      <c r="AU16" s="1351"/>
      <c r="AV16" s="1351"/>
      <c r="AW16" s="1351"/>
      <c r="AX16" s="1351"/>
      <c r="AY16" s="1351"/>
      <c r="AZ16" s="1351"/>
      <c r="BA16" s="1351"/>
      <c r="BB16" s="1351"/>
      <c r="BC16" s="1351"/>
      <c r="BD16" s="1351"/>
      <c r="BE16" s="1351"/>
      <c r="BF16" s="1351"/>
      <c r="BG16" s="1351"/>
      <c r="BH16" s="1351"/>
      <c r="BI16" s="1351"/>
      <c r="BJ16" s="1351"/>
      <c r="BK16" s="1351"/>
      <c r="BL16" s="1351"/>
    </row>
    <row r="17" spans="4:64" ht="14.25" customHeight="1">
      <c r="D17" s="2044" t="s">
        <v>44</v>
      </c>
      <c r="E17" s="2046" t="s">
        <v>217</v>
      </c>
      <c r="F17" s="2046" t="s">
        <v>219</v>
      </c>
      <c r="G17" s="2049" t="s">
        <v>15</v>
      </c>
      <c r="H17" s="1376"/>
      <c r="I17" s="2052"/>
      <c r="J17" s="2009"/>
      <c r="K17" s="1284"/>
      <c r="L17" s="1996"/>
      <c r="M17" s="1996"/>
      <c r="N17" s="1361"/>
      <c r="O17" s="1996"/>
      <c r="P17" s="2009"/>
      <c r="Q17" s="1362"/>
      <c r="R17" s="1996"/>
      <c r="S17" s="1996"/>
      <c r="T17" s="1363"/>
      <c r="U17" s="1996"/>
      <c r="V17" s="2009"/>
      <c r="W17" s="1364"/>
      <c r="X17" s="1996"/>
      <c r="Y17" s="1996"/>
      <c r="Z17" s="1361"/>
      <c r="AA17" s="1996"/>
      <c r="AB17" s="2009"/>
      <c r="AC17" s="1365"/>
      <c r="AD17" s="1996"/>
      <c r="AE17" s="1996"/>
      <c r="AF17" s="1283"/>
      <c r="AG17" s="1283"/>
      <c r="AH17" s="1366"/>
      <c r="AI17" s="1079"/>
      <c r="AJ17" s="1351"/>
    </row>
    <row r="18" spans="4:64" ht="14.25" customHeight="1">
      <c r="D18" s="2044"/>
      <c r="E18" s="2046"/>
      <c r="F18" s="2046"/>
      <c r="G18" s="2050"/>
      <c r="H18" s="1377"/>
      <c r="I18" s="2053"/>
      <c r="J18" s="2010"/>
      <c r="K18" s="1360"/>
      <c r="L18" s="1997"/>
      <c r="M18" s="1997"/>
      <c r="N18" s="1367"/>
      <c r="O18" s="1997"/>
      <c r="P18" s="2010"/>
      <c r="Q18" s="1368"/>
      <c r="R18" s="1997"/>
      <c r="S18" s="1997"/>
      <c r="T18" s="1369"/>
      <c r="U18" s="1997"/>
      <c r="V18" s="2010"/>
      <c r="W18" s="1370"/>
      <c r="X18" s="1997"/>
      <c r="Y18" s="1997"/>
      <c r="Z18" s="1367"/>
      <c r="AA18" s="1997"/>
      <c r="AB18" s="2010"/>
      <c r="AC18" s="1371"/>
      <c r="AD18" s="1997"/>
      <c r="AE18" s="1997"/>
      <c r="AF18" s="1372"/>
      <c r="AG18" s="1372"/>
      <c r="AH18" s="2056"/>
      <c r="AI18" s="2057"/>
      <c r="AJ18" s="1351"/>
    </row>
    <row r="19" spans="4:64" ht="14.25" customHeight="1">
      <c r="D19" s="2044"/>
      <c r="E19" s="2046"/>
      <c r="F19" s="2046"/>
      <c r="G19" s="2050"/>
      <c r="H19" s="1377"/>
      <c r="I19" s="2053"/>
      <c r="J19" s="2010"/>
      <c r="K19" s="1360"/>
      <c r="L19" s="1997"/>
      <c r="M19" s="1997"/>
      <c r="N19" s="1367"/>
      <c r="O19" s="1997"/>
      <c r="P19" s="2010"/>
      <c r="Q19" s="1368"/>
      <c r="R19" s="1997"/>
      <c r="S19" s="1997"/>
      <c r="T19" s="1369"/>
      <c r="U19" s="1997"/>
      <c r="V19" s="2010"/>
      <c r="W19" s="1370"/>
      <c r="X19" s="1997"/>
      <c r="Y19" s="1997"/>
      <c r="Z19" s="1282"/>
      <c r="AA19" s="1372"/>
      <c r="AB19" s="2056"/>
      <c r="AC19" s="2056"/>
      <c r="AD19" s="2056"/>
      <c r="AE19" s="2056"/>
      <c r="AF19" s="2056"/>
      <c r="AG19" s="2056"/>
      <c r="AH19" s="2056"/>
      <c r="AI19" s="2057"/>
      <c r="AJ19" s="1351"/>
    </row>
    <row r="20" spans="4:64" ht="14.25" customHeight="1">
      <c r="D20" s="2044"/>
      <c r="E20" s="2046"/>
      <c r="F20" s="2046"/>
      <c r="G20" s="2050"/>
      <c r="H20" s="1377"/>
      <c r="I20" s="2053"/>
      <c r="J20" s="2010"/>
      <c r="K20" s="1360"/>
      <c r="L20" s="1997"/>
      <c r="M20" s="1997"/>
      <c r="N20" s="1367"/>
      <c r="O20" s="1997"/>
      <c r="P20" s="2010"/>
      <c r="Q20" s="1368"/>
      <c r="R20" s="1997"/>
      <c r="S20" s="1997"/>
      <c r="T20" s="1373"/>
      <c r="U20" s="1374"/>
      <c r="V20" s="2056"/>
      <c r="W20" s="2056"/>
      <c r="X20" s="2056"/>
      <c r="Y20" s="2056"/>
      <c r="Z20" s="2056"/>
      <c r="AA20" s="2056"/>
      <c r="AB20" s="2056"/>
      <c r="AC20" s="2056"/>
      <c r="AD20" s="2056"/>
      <c r="AE20" s="2056"/>
      <c r="AF20" s="2056"/>
      <c r="AG20" s="2056"/>
      <c r="AH20" s="2056"/>
      <c r="AI20" s="2057"/>
      <c r="AJ20" s="1351"/>
    </row>
    <row r="21" spans="4:64" ht="11.25" customHeight="1">
      <c r="D21" s="2044"/>
      <c r="E21" s="2046"/>
      <c r="F21" s="2046"/>
      <c r="G21" s="2050"/>
      <c r="H21" s="1378"/>
      <c r="I21" s="2053"/>
      <c r="J21" s="2010"/>
      <c r="K21" s="1360"/>
      <c r="L21" s="1997"/>
      <c r="M21" s="1997"/>
      <c r="N21" s="1372"/>
      <c r="O21" s="1372"/>
      <c r="P21" s="2056"/>
      <c r="Q21" s="2056"/>
      <c r="R21" s="2056"/>
      <c r="S21" s="2056"/>
      <c r="T21" s="2056"/>
      <c r="U21" s="2056"/>
      <c r="V21" s="2056"/>
      <c r="W21" s="2056"/>
      <c r="X21" s="2056"/>
      <c r="Y21" s="2056"/>
      <c r="Z21" s="2056"/>
      <c r="AA21" s="2056"/>
      <c r="AB21" s="2056"/>
      <c r="AC21" s="2056"/>
      <c r="AD21" s="2056"/>
      <c r="AE21" s="2056"/>
      <c r="AF21" s="2056"/>
      <c r="AG21" s="2056"/>
      <c r="AH21" s="2056"/>
      <c r="AI21" s="2057"/>
      <c r="AJ21" s="1351"/>
    </row>
    <row r="22" spans="4:64" s="1658" customFormat="1" ht="11.25" customHeight="1">
      <c r="D22" s="2045"/>
      <c r="E22" s="2047"/>
      <c r="F22" s="2048"/>
      <c r="G22" s="2051"/>
      <c r="H22" s="1375"/>
      <c r="I22" s="1379"/>
      <c r="J22" s="2054"/>
      <c r="K22" s="2054"/>
      <c r="L22" s="2054"/>
      <c r="M22" s="2054"/>
      <c r="N22" s="2054"/>
      <c r="O22" s="2054"/>
      <c r="P22" s="2054"/>
      <c r="Q22" s="2054"/>
      <c r="R22" s="2054"/>
      <c r="S22" s="2054"/>
      <c r="T22" s="2054"/>
      <c r="U22" s="2054"/>
      <c r="V22" s="2054"/>
      <c r="W22" s="2054"/>
      <c r="X22" s="2054"/>
      <c r="Y22" s="2054"/>
      <c r="Z22" s="2054"/>
      <c r="AA22" s="2054"/>
      <c r="AB22" s="2054"/>
      <c r="AC22" s="2054"/>
      <c r="AD22" s="2054"/>
      <c r="AE22" s="2054"/>
      <c r="AF22" s="2054"/>
      <c r="AG22" s="2054"/>
      <c r="AH22" s="2054"/>
      <c r="AI22" s="2055"/>
      <c r="AJ22" s="1351"/>
      <c r="AK22" s="182"/>
      <c r="AL22" s="1351"/>
      <c r="AM22" s="1351"/>
      <c r="AN22" s="1351"/>
      <c r="AO22" s="1351"/>
      <c r="AP22" s="1351"/>
      <c r="AQ22" s="1351"/>
      <c r="AR22" s="1351"/>
      <c r="AS22" s="1351"/>
      <c r="AT22" s="1351"/>
      <c r="AU22" s="1351"/>
      <c r="AV22" s="1351"/>
      <c r="AW22" s="1351"/>
      <c r="AX22" s="1351"/>
      <c r="AY22" s="1351"/>
      <c r="AZ22" s="1351"/>
      <c r="BA22" s="1351"/>
      <c r="BB22" s="1351"/>
      <c r="BC22" s="1351"/>
      <c r="BD22" s="1351"/>
      <c r="BE22" s="1351"/>
      <c r="BF22" s="1351"/>
      <c r="BG22" s="1351"/>
      <c r="BH22" s="1351"/>
      <c r="BI22" s="1351"/>
      <c r="BJ22" s="1351"/>
      <c r="BK22" s="1351"/>
      <c r="BL22" s="1351"/>
    </row>
    <row r="23" spans="4:64" ht="14.25" customHeight="1">
      <c r="D23" s="2044" t="s">
        <v>24</v>
      </c>
      <c r="E23" s="2046" t="s">
        <v>217</v>
      </c>
      <c r="F23" s="2046" t="s">
        <v>220</v>
      </c>
      <c r="G23" s="2049" t="s">
        <v>15</v>
      </c>
      <c r="H23" s="1376"/>
      <c r="I23" s="2052"/>
      <c r="J23" s="2009"/>
      <c r="K23" s="1284"/>
      <c r="L23" s="1996"/>
      <c r="M23" s="1996"/>
      <c r="N23" s="1361"/>
      <c r="O23" s="1996"/>
      <c r="P23" s="2009"/>
      <c r="Q23" s="1362"/>
      <c r="R23" s="1996"/>
      <c r="S23" s="1996"/>
      <c r="T23" s="1363"/>
      <c r="U23" s="1996"/>
      <c r="V23" s="2009"/>
      <c r="W23" s="1364"/>
      <c r="X23" s="1996"/>
      <c r="Y23" s="1996"/>
      <c r="Z23" s="1361"/>
      <c r="AA23" s="1996"/>
      <c r="AB23" s="2009"/>
      <c r="AC23" s="1365"/>
      <c r="AD23" s="1996"/>
      <c r="AE23" s="1996"/>
      <c r="AF23" s="1283"/>
      <c r="AG23" s="1283"/>
      <c r="AH23" s="1366"/>
      <c r="AI23" s="1079"/>
      <c r="AJ23" s="1351"/>
      <c r="AK23" s="182" t="s">
        <v>32</v>
      </c>
    </row>
    <row r="24" spans="4:64" ht="14.25" customHeight="1">
      <c r="D24" s="2044"/>
      <c r="E24" s="2046"/>
      <c r="F24" s="2046"/>
      <c r="G24" s="2050"/>
      <c r="H24" s="1377"/>
      <c r="I24" s="2053"/>
      <c r="J24" s="2010"/>
      <c r="K24" s="1385"/>
      <c r="L24" s="1997"/>
      <c r="M24" s="1997"/>
      <c r="N24" s="1367"/>
      <c r="O24" s="1997"/>
      <c r="P24" s="2010"/>
      <c r="Q24" s="1368"/>
      <c r="R24" s="1997"/>
      <c r="S24" s="1997"/>
      <c r="T24" s="1369"/>
      <c r="U24" s="1997"/>
      <c r="V24" s="2010"/>
      <c r="W24" s="1370"/>
      <c r="X24" s="1997"/>
      <c r="Y24" s="1997"/>
      <c r="Z24" s="1367"/>
      <c r="AA24" s="1997"/>
      <c r="AB24" s="2010"/>
      <c r="AC24" s="1371"/>
      <c r="AD24" s="1997"/>
      <c r="AE24" s="1997"/>
      <c r="AF24" s="1372"/>
      <c r="AG24" s="1372"/>
      <c r="AH24" s="2056"/>
      <c r="AI24" s="2057"/>
      <c r="AJ24" s="1351"/>
    </row>
    <row r="25" spans="4:64" ht="14.25" customHeight="1">
      <c r="D25" s="2044"/>
      <c r="E25" s="2046"/>
      <c r="F25" s="2046"/>
      <c r="G25" s="2050"/>
      <c r="H25" s="1377"/>
      <c r="I25" s="2053"/>
      <c r="J25" s="2010"/>
      <c r="K25" s="1385"/>
      <c r="L25" s="1997"/>
      <c r="M25" s="1997"/>
      <c r="N25" s="1367"/>
      <c r="O25" s="1997"/>
      <c r="P25" s="2010"/>
      <c r="Q25" s="1368"/>
      <c r="R25" s="1997"/>
      <c r="S25" s="1997"/>
      <c r="T25" s="1369"/>
      <c r="U25" s="1997"/>
      <c r="V25" s="2010"/>
      <c r="W25" s="1370"/>
      <c r="X25" s="1997"/>
      <c r="Y25" s="1997"/>
      <c r="Z25" s="1282"/>
      <c r="AA25" s="1372"/>
      <c r="AB25" s="2056"/>
      <c r="AC25" s="2056"/>
      <c r="AD25" s="2056"/>
      <c r="AE25" s="2056"/>
      <c r="AF25" s="2056"/>
      <c r="AG25" s="2056"/>
      <c r="AH25" s="2056"/>
      <c r="AI25" s="2057"/>
      <c r="AJ25" s="1351"/>
    </row>
    <row r="26" spans="4:64" ht="14.25" customHeight="1">
      <c r="D26" s="2044"/>
      <c r="E26" s="2046"/>
      <c r="F26" s="2046"/>
      <c r="G26" s="2050"/>
      <c r="H26" s="1377"/>
      <c r="I26" s="2053"/>
      <c r="J26" s="2010"/>
      <c r="K26" s="1385"/>
      <c r="L26" s="1997"/>
      <c r="M26" s="1997"/>
      <c r="N26" s="1367"/>
      <c r="O26" s="1997"/>
      <c r="P26" s="2010"/>
      <c r="Q26" s="1368"/>
      <c r="R26" s="1997"/>
      <c r="S26" s="1997"/>
      <c r="T26" s="1373"/>
      <c r="U26" s="1374"/>
      <c r="V26" s="2056"/>
      <c r="W26" s="2056"/>
      <c r="X26" s="2056"/>
      <c r="Y26" s="2056"/>
      <c r="Z26" s="2056"/>
      <c r="AA26" s="2056"/>
      <c r="AB26" s="2056"/>
      <c r="AC26" s="2056"/>
      <c r="AD26" s="2056"/>
      <c r="AE26" s="2056"/>
      <c r="AF26" s="2056"/>
      <c r="AG26" s="2056"/>
      <c r="AH26" s="2056"/>
      <c r="AI26" s="2057"/>
      <c r="AJ26" s="1351"/>
    </row>
    <row r="27" spans="4:64" ht="11.25" customHeight="1">
      <c r="D27" s="2044"/>
      <c r="E27" s="2046"/>
      <c r="F27" s="2046"/>
      <c r="G27" s="2050"/>
      <c r="H27" s="1378"/>
      <c r="I27" s="2053"/>
      <c r="J27" s="2010"/>
      <c r="K27" s="1385"/>
      <c r="L27" s="1997"/>
      <c r="M27" s="1997"/>
      <c r="N27" s="1372"/>
      <c r="O27" s="1372"/>
      <c r="P27" s="2056"/>
      <c r="Q27" s="2056"/>
      <c r="R27" s="2056"/>
      <c r="S27" s="2056"/>
      <c r="T27" s="2056"/>
      <c r="U27" s="2056"/>
      <c r="V27" s="2056"/>
      <c r="W27" s="2056"/>
      <c r="X27" s="2056"/>
      <c r="Y27" s="2056"/>
      <c r="Z27" s="2056"/>
      <c r="AA27" s="2056"/>
      <c r="AB27" s="2056"/>
      <c r="AC27" s="2056"/>
      <c r="AD27" s="2056"/>
      <c r="AE27" s="2056"/>
      <c r="AF27" s="2056"/>
      <c r="AG27" s="2056"/>
      <c r="AH27" s="2056"/>
      <c r="AI27" s="2057"/>
      <c r="AJ27" s="1351"/>
    </row>
    <row r="28" spans="4:64" s="1658" customFormat="1" ht="11.25" customHeight="1">
      <c r="D28" s="2045"/>
      <c r="E28" s="2047"/>
      <c r="F28" s="2048"/>
      <c r="G28" s="2051"/>
      <c r="H28" s="1375"/>
      <c r="I28" s="1379"/>
      <c r="J28" s="2054"/>
      <c r="K28" s="2054"/>
      <c r="L28" s="2054"/>
      <c r="M28" s="2054"/>
      <c r="N28" s="2054"/>
      <c r="O28" s="2054"/>
      <c r="P28" s="2054"/>
      <c r="Q28" s="2054"/>
      <c r="R28" s="2054"/>
      <c r="S28" s="2054"/>
      <c r="T28" s="2054"/>
      <c r="U28" s="2054"/>
      <c r="V28" s="2054"/>
      <c r="W28" s="2054"/>
      <c r="X28" s="2054"/>
      <c r="Y28" s="2054"/>
      <c r="Z28" s="2054"/>
      <c r="AA28" s="2054"/>
      <c r="AB28" s="2054"/>
      <c r="AC28" s="2054"/>
      <c r="AD28" s="2054"/>
      <c r="AE28" s="2054"/>
      <c r="AF28" s="2054"/>
      <c r="AG28" s="2054"/>
      <c r="AH28" s="2054"/>
      <c r="AI28" s="2055"/>
      <c r="AJ28" s="1351"/>
      <c r="AK28" s="182"/>
      <c r="AL28" s="1351"/>
      <c r="AM28" s="1351"/>
      <c r="AN28" s="1351"/>
      <c r="AO28" s="1351"/>
      <c r="AP28" s="1351"/>
      <c r="AQ28" s="1351"/>
      <c r="AR28" s="1351"/>
      <c r="AS28" s="1351"/>
      <c r="AT28" s="1351"/>
      <c r="AU28" s="1351"/>
      <c r="AV28" s="1351"/>
      <c r="AW28" s="1351"/>
      <c r="AX28" s="1351"/>
      <c r="AY28" s="1351"/>
      <c r="AZ28" s="1351"/>
      <c r="BA28" s="1351"/>
      <c r="BB28" s="1351"/>
      <c r="BC28" s="1351"/>
      <c r="BD28" s="1351"/>
      <c r="BE28" s="1351"/>
      <c r="BF28" s="1351"/>
      <c r="BG28" s="1351"/>
      <c r="BH28" s="1351"/>
      <c r="BI28" s="1351"/>
      <c r="BJ28" s="1351"/>
      <c r="BK28" s="1351"/>
      <c r="BL28" s="1351"/>
    </row>
    <row r="29" spans="4:64" ht="14.25" customHeight="1">
      <c r="D29" s="2044" t="s">
        <v>25</v>
      </c>
      <c r="E29" s="2046" t="s">
        <v>217</v>
      </c>
      <c r="F29" s="2046" t="s">
        <v>221</v>
      </c>
      <c r="G29" s="2049" t="s">
        <v>15</v>
      </c>
      <c r="H29" s="1376"/>
      <c r="I29" s="2052"/>
      <c r="J29" s="2009"/>
      <c r="K29" s="1284"/>
      <c r="L29" s="1996"/>
      <c r="M29" s="1996"/>
      <c r="N29" s="1361"/>
      <c r="O29" s="1996"/>
      <c r="P29" s="2009"/>
      <c r="Q29" s="1362"/>
      <c r="R29" s="1996"/>
      <c r="S29" s="1996"/>
      <c r="T29" s="1363"/>
      <c r="U29" s="1996"/>
      <c r="V29" s="2009"/>
      <c r="W29" s="1364"/>
      <c r="X29" s="1996"/>
      <c r="Y29" s="1996"/>
      <c r="Z29" s="1361"/>
      <c r="AA29" s="1996"/>
      <c r="AB29" s="2009"/>
      <c r="AC29" s="1365"/>
      <c r="AD29" s="1996"/>
      <c r="AE29" s="1996"/>
      <c r="AF29" s="1283"/>
      <c r="AG29" s="1283"/>
      <c r="AH29" s="1366"/>
      <c r="AI29" s="1079"/>
      <c r="AJ29" s="1351"/>
    </row>
    <row r="30" spans="4:64" ht="14.25" customHeight="1">
      <c r="D30" s="2044"/>
      <c r="E30" s="2046"/>
      <c r="F30" s="2046"/>
      <c r="G30" s="2050"/>
      <c r="H30" s="1377"/>
      <c r="I30" s="2053"/>
      <c r="J30" s="2010"/>
      <c r="K30" s="1360"/>
      <c r="L30" s="1997"/>
      <c r="M30" s="1997"/>
      <c r="N30" s="1367"/>
      <c r="O30" s="1997"/>
      <c r="P30" s="2010"/>
      <c r="Q30" s="1368"/>
      <c r="R30" s="1997"/>
      <c r="S30" s="1997"/>
      <c r="T30" s="1369"/>
      <c r="U30" s="1997"/>
      <c r="V30" s="2010"/>
      <c r="W30" s="1370"/>
      <c r="X30" s="1997"/>
      <c r="Y30" s="1997"/>
      <c r="Z30" s="1367"/>
      <c r="AA30" s="1997"/>
      <c r="AB30" s="2010"/>
      <c r="AC30" s="1371"/>
      <c r="AD30" s="1997"/>
      <c r="AE30" s="1997"/>
      <c r="AF30" s="1372"/>
      <c r="AG30" s="1372"/>
      <c r="AH30" s="2056"/>
      <c r="AI30" s="2057"/>
      <c r="AJ30" s="1351"/>
    </row>
    <row r="31" spans="4:64" ht="14.25" customHeight="1">
      <c r="D31" s="2044"/>
      <c r="E31" s="2046"/>
      <c r="F31" s="2046"/>
      <c r="G31" s="2050"/>
      <c r="H31" s="1377"/>
      <c r="I31" s="2053"/>
      <c r="J31" s="2010"/>
      <c r="K31" s="1360"/>
      <c r="L31" s="1997"/>
      <c r="M31" s="1997"/>
      <c r="N31" s="1367"/>
      <c r="O31" s="1997"/>
      <c r="P31" s="2010"/>
      <c r="Q31" s="1368"/>
      <c r="R31" s="1997"/>
      <c r="S31" s="1997"/>
      <c r="T31" s="1369"/>
      <c r="U31" s="1997"/>
      <c r="V31" s="2010"/>
      <c r="W31" s="1370"/>
      <c r="X31" s="1997"/>
      <c r="Y31" s="1997"/>
      <c r="Z31" s="1282"/>
      <c r="AA31" s="1372"/>
      <c r="AB31" s="2056"/>
      <c r="AC31" s="2056"/>
      <c r="AD31" s="2056"/>
      <c r="AE31" s="2056"/>
      <c r="AF31" s="2056"/>
      <c r="AG31" s="2056"/>
      <c r="AH31" s="2056"/>
      <c r="AI31" s="2057"/>
      <c r="AJ31" s="1351"/>
    </row>
    <row r="32" spans="4:64" ht="14.25" customHeight="1">
      <c r="D32" s="2044"/>
      <c r="E32" s="2046"/>
      <c r="F32" s="2046"/>
      <c r="G32" s="2050"/>
      <c r="H32" s="1377"/>
      <c r="I32" s="2053"/>
      <c r="J32" s="2010"/>
      <c r="K32" s="1360"/>
      <c r="L32" s="1997"/>
      <c r="M32" s="1997"/>
      <c r="N32" s="1367"/>
      <c r="O32" s="1997"/>
      <c r="P32" s="2010"/>
      <c r="Q32" s="1368"/>
      <c r="R32" s="1997"/>
      <c r="S32" s="1997"/>
      <c r="T32" s="1373"/>
      <c r="U32" s="1374"/>
      <c r="V32" s="2056"/>
      <c r="W32" s="2056"/>
      <c r="X32" s="2056"/>
      <c r="Y32" s="2056"/>
      <c r="Z32" s="2056"/>
      <c r="AA32" s="2056"/>
      <c r="AB32" s="2056"/>
      <c r="AC32" s="2056"/>
      <c r="AD32" s="2056"/>
      <c r="AE32" s="2056"/>
      <c r="AF32" s="2056"/>
      <c r="AG32" s="2056"/>
      <c r="AH32" s="2056"/>
      <c r="AI32" s="2057"/>
      <c r="AJ32" s="1351"/>
    </row>
    <row r="33" spans="4:64" ht="11.25" customHeight="1">
      <c r="D33" s="2044"/>
      <c r="E33" s="2046"/>
      <c r="F33" s="2046"/>
      <c r="G33" s="2050"/>
      <c r="H33" s="1378"/>
      <c r="I33" s="2053"/>
      <c r="J33" s="2010"/>
      <c r="K33" s="1360"/>
      <c r="L33" s="1997"/>
      <c r="M33" s="1997"/>
      <c r="N33" s="1372"/>
      <c r="O33" s="1372"/>
      <c r="P33" s="2056"/>
      <c r="Q33" s="2056"/>
      <c r="R33" s="2056"/>
      <c r="S33" s="2056"/>
      <c r="T33" s="2056"/>
      <c r="U33" s="2056"/>
      <c r="V33" s="2056"/>
      <c r="W33" s="2056"/>
      <c r="X33" s="2056"/>
      <c r="Y33" s="2056"/>
      <c r="Z33" s="2056"/>
      <c r="AA33" s="2056"/>
      <c r="AB33" s="2056"/>
      <c r="AC33" s="2056"/>
      <c r="AD33" s="2056"/>
      <c r="AE33" s="2056"/>
      <c r="AF33" s="2056"/>
      <c r="AG33" s="2056"/>
      <c r="AH33" s="2056"/>
      <c r="AI33" s="2057"/>
      <c r="AJ33" s="1351"/>
    </row>
    <row r="34" spans="4:64" s="1658" customFormat="1" ht="11.25" customHeight="1">
      <c r="D34" s="2045"/>
      <c r="E34" s="2047"/>
      <c r="F34" s="2048"/>
      <c r="G34" s="2051"/>
      <c r="H34" s="1375"/>
      <c r="I34" s="1379"/>
      <c r="J34" s="2054"/>
      <c r="K34" s="2054"/>
      <c r="L34" s="2054"/>
      <c r="M34" s="2054"/>
      <c r="N34" s="2054"/>
      <c r="O34" s="2054"/>
      <c r="P34" s="2054"/>
      <c r="Q34" s="2054"/>
      <c r="R34" s="2054"/>
      <c r="S34" s="2054"/>
      <c r="T34" s="2054"/>
      <c r="U34" s="2054"/>
      <c r="V34" s="2054"/>
      <c r="W34" s="2054"/>
      <c r="X34" s="2054"/>
      <c r="Y34" s="2054"/>
      <c r="Z34" s="2054"/>
      <c r="AA34" s="2054"/>
      <c r="AB34" s="2054"/>
      <c r="AC34" s="2054"/>
      <c r="AD34" s="2054"/>
      <c r="AE34" s="2054"/>
      <c r="AF34" s="2054"/>
      <c r="AG34" s="2054"/>
      <c r="AH34" s="2054"/>
      <c r="AI34" s="2055"/>
      <c r="AJ34" s="1351"/>
      <c r="AK34" s="182"/>
      <c r="AL34" s="1351"/>
      <c r="AM34" s="1351"/>
      <c r="AN34" s="1351"/>
      <c r="AO34" s="1351"/>
      <c r="AP34" s="1351"/>
      <c r="AQ34" s="1351"/>
      <c r="AR34" s="1351"/>
      <c r="AS34" s="1351"/>
      <c r="AT34" s="1351"/>
      <c r="AU34" s="1351"/>
      <c r="AV34" s="1351"/>
      <c r="AW34" s="1351"/>
      <c r="AX34" s="1351"/>
      <c r="AY34" s="1351"/>
      <c r="AZ34" s="1351"/>
      <c r="BA34" s="1351"/>
      <c r="BB34" s="1351"/>
      <c r="BC34" s="1351"/>
      <c r="BD34" s="1351"/>
      <c r="BE34" s="1351"/>
      <c r="BF34" s="1351"/>
      <c r="BG34" s="1351"/>
      <c r="BH34" s="1351"/>
      <c r="BI34" s="1351"/>
      <c r="BJ34" s="1351"/>
      <c r="BK34" s="1351"/>
      <c r="BL34" s="1351"/>
    </row>
    <row r="35" spans="4:64" ht="14.25" customHeight="1">
      <c r="D35" s="2044" t="s">
        <v>45</v>
      </c>
      <c r="E35" s="2046" t="s">
        <v>217</v>
      </c>
      <c r="F35" s="2046" t="s">
        <v>222</v>
      </c>
      <c r="G35" s="2049" t="s">
        <v>15</v>
      </c>
      <c r="H35" s="1376"/>
      <c r="I35" s="2052"/>
      <c r="J35" s="2009"/>
      <c r="K35" s="1284"/>
      <c r="L35" s="1996"/>
      <c r="M35" s="1996"/>
      <c r="N35" s="1361"/>
      <c r="O35" s="1996"/>
      <c r="P35" s="2009"/>
      <c r="Q35" s="1362"/>
      <c r="R35" s="1996"/>
      <c r="S35" s="1996"/>
      <c r="T35" s="1363"/>
      <c r="U35" s="1996"/>
      <c r="V35" s="2009"/>
      <c r="W35" s="1364"/>
      <c r="X35" s="1996"/>
      <c r="Y35" s="1996"/>
      <c r="Z35" s="1361"/>
      <c r="AA35" s="1996"/>
      <c r="AB35" s="2009"/>
      <c r="AC35" s="1365"/>
      <c r="AD35" s="1996"/>
      <c r="AE35" s="1996"/>
      <c r="AF35" s="1283"/>
      <c r="AG35" s="1283"/>
      <c r="AH35" s="1366"/>
      <c r="AI35" s="1079"/>
      <c r="AJ35" s="1351"/>
    </row>
    <row r="36" spans="4:64" ht="14.25" customHeight="1">
      <c r="D36" s="2044"/>
      <c r="E36" s="2046"/>
      <c r="F36" s="2046"/>
      <c r="G36" s="2050"/>
      <c r="H36" s="1377"/>
      <c r="I36" s="2053"/>
      <c r="J36" s="2010"/>
      <c r="K36" s="1360"/>
      <c r="L36" s="1997"/>
      <c r="M36" s="1997"/>
      <c r="N36" s="1367"/>
      <c r="O36" s="1997"/>
      <c r="P36" s="2010"/>
      <c r="Q36" s="1368"/>
      <c r="R36" s="1997"/>
      <c r="S36" s="1997"/>
      <c r="T36" s="1369"/>
      <c r="U36" s="1997"/>
      <c r="V36" s="2010"/>
      <c r="W36" s="1370"/>
      <c r="X36" s="1997"/>
      <c r="Y36" s="1997"/>
      <c r="Z36" s="1367"/>
      <c r="AA36" s="1997"/>
      <c r="AB36" s="2010"/>
      <c r="AC36" s="1371"/>
      <c r="AD36" s="1997"/>
      <c r="AE36" s="1997"/>
      <c r="AF36" s="1372"/>
      <c r="AG36" s="1372"/>
      <c r="AH36" s="2056"/>
      <c r="AI36" s="2057"/>
      <c r="AJ36" s="1351"/>
    </row>
    <row r="37" spans="4:64" ht="14.25" customHeight="1">
      <c r="D37" s="2044"/>
      <c r="E37" s="2046"/>
      <c r="F37" s="2046"/>
      <c r="G37" s="2050"/>
      <c r="H37" s="1377"/>
      <c r="I37" s="2053"/>
      <c r="J37" s="2010"/>
      <c r="K37" s="1360"/>
      <c r="L37" s="1997"/>
      <c r="M37" s="1997"/>
      <c r="N37" s="1367"/>
      <c r="O37" s="1997"/>
      <c r="P37" s="2010"/>
      <c r="Q37" s="1368"/>
      <c r="R37" s="1997"/>
      <c r="S37" s="1997"/>
      <c r="T37" s="1369"/>
      <c r="U37" s="1997"/>
      <c r="V37" s="2010"/>
      <c r="W37" s="1370"/>
      <c r="X37" s="1997"/>
      <c r="Y37" s="1997"/>
      <c r="Z37" s="1282"/>
      <c r="AA37" s="1372"/>
      <c r="AB37" s="2056"/>
      <c r="AC37" s="2056"/>
      <c r="AD37" s="2056"/>
      <c r="AE37" s="2056"/>
      <c r="AF37" s="2056"/>
      <c r="AG37" s="2056"/>
      <c r="AH37" s="2056"/>
      <c r="AI37" s="2057"/>
      <c r="AJ37" s="1351"/>
    </row>
    <row r="38" spans="4:64" ht="14.25" customHeight="1">
      <c r="D38" s="2044"/>
      <c r="E38" s="2046"/>
      <c r="F38" s="2046"/>
      <c r="G38" s="2050"/>
      <c r="H38" s="1377"/>
      <c r="I38" s="2053"/>
      <c r="J38" s="2010"/>
      <c r="K38" s="1360"/>
      <c r="L38" s="1997"/>
      <c r="M38" s="1997"/>
      <c r="N38" s="1367"/>
      <c r="O38" s="1997"/>
      <c r="P38" s="2010"/>
      <c r="Q38" s="1368"/>
      <c r="R38" s="1997"/>
      <c r="S38" s="1997"/>
      <c r="T38" s="1373"/>
      <c r="U38" s="1374"/>
      <c r="V38" s="2056"/>
      <c r="W38" s="2056"/>
      <c r="X38" s="2056"/>
      <c r="Y38" s="2056"/>
      <c r="Z38" s="2056"/>
      <c r="AA38" s="2056"/>
      <c r="AB38" s="2056"/>
      <c r="AC38" s="2056"/>
      <c r="AD38" s="2056"/>
      <c r="AE38" s="2056"/>
      <c r="AF38" s="2056"/>
      <c r="AG38" s="2056"/>
      <c r="AH38" s="2056"/>
      <c r="AI38" s="2057"/>
      <c r="AJ38" s="1351"/>
    </row>
    <row r="39" spans="4:64" ht="11.25" customHeight="1">
      <c r="D39" s="2044"/>
      <c r="E39" s="2046"/>
      <c r="F39" s="2046"/>
      <c r="G39" s="2050"/>
      <c r="H39" s="1378"/>
      <c r="I39" s="2053"/>
      <c r="J39" s="2010"/>
      <c r="K39" s="1360"/>
      <c r="L39" s="1997"/>
      <c r="M39" s="1997"/>
      <c r="N39" s="1372"/>
      <c r="O39" s="1372"/>
      <c r="P39" s="2056"/>
      <c r="Q39" s="2056"/>
      <c r="R39" s="2056"/>
      <c r="S39" s="2056"/>
      <c r="T39" s="2056"/>
      <c r="U39" s="2056"/>
      <c r="V39" s="2056"/>
      <c r="W39" s="2056"/>
      <c r="X39" s="2056"/>
      <c r="Y39" s="2056"/>
      <c r="Z39" s="2056"/>
      <c r="AA39" s="2056"/>
      <c r="AB39" s="2056"/>
      <c r="AC39" s="2056"/>
      <c r="AD39" s="2056"/>
      <c r="AE39" s="2056"/>
      <c r="AF39" s="2056"/>
      <c r="AG39" s="2056"/>
      <c r="AH39" s="2056"/>
      <c r="AI39" s="2057"/>
      <c r="AJ39" s="1351"/>
    </row>
    <row r="40" spans="4:64" s="1658" customFormat="1" ht="11.25" customHeight="1">
      <c r="D40" s="2044"/>
      <c r="E40" s="2046"/>
      <c r="F40" s="2058"/>
      <c r="G40" s="2051"/>
      <c r="H40" s="1375"/>
      <c r="I40" s="1379"/>
      <c r="J40" s="2054"/>
      <c r="K40" s="2054"/>
      <c r="L40" s="2054"/>
      <c r="M40" s="2054"/>
      <c r="N40" s="2054"/>
      <c r="O40" s="2054"/>
      <c r="P40" s="2054"/>
      <c r="Q40" s="2054"/>
      <c r="R40" s="2054"/>
      <c r="S40" s="2054"/>
      <c r="T40" s="2054"/>
      <c r="U40" s="2054"/>
      <c r="V40" s="2054"/>
      <c r="W40" s="2054"/>
      <c r="X40" s="2054"/>
      <c r="Y40" s="2054"/>
      <c r="Z40" s="2054"/>
      <c r="AA40" s="2054"/>
      <c r="AB40" s="2054"/>
      <c r="AC40" s="2054"/>
      <c r="AD40" s="2054"/>
      <c r="AE40" s="2054"/>
      <c r="AF40" s="2054"/>
      <c r="AG40" s="2054"/>
      <c r="AH40" s="2054"/>
      <c r="AI40" s="2055"/>
      <c r="AJ40" s="1351"/>
      <c r="AK40" s="182"/>
      <c r="AL40" s="1351"/>
      <c r="AM40" s="1351"/>
      <c r="AN40" s="1351"/>
      <c r="AO40" s="1351"/>
      <c r="AP40" s="1351"/>
      <c r="AQ40" s="1351"/>
      <c r="AR40" s="1351"/>
      <c r="AS40" s="1351"/>
      <c r="AT40" s="1351"/>
      <c r="AU40" s="1351"/>
      <c r="AV40" s="1351"/>
      <c r="AW40" s="1351"/>
      <c r="AX40" s="1351"/>
      <c r="AY40" s="1351"/>
      <c r="AZ40" s="1351"/>
      <c r="BA40" s="1351"/>
      <c r="BB40" s="1351"/>
      <c r="BC40" s="1351"/>
      <c r="BD40" s="1351"/>
      <c r="BE40" s="1351"/>
      <c r="BF40" s="1351"/>
      <c r="BG40" s="1351"/>
      <c r="BH40" s="1351"/>
      <c r="BI40" s="1351"/>
      <c r="BJ40" s="1351"/>
      <c r="BK40" s="1351"/>
      <c r="BL40" s="1351"/>
    </row>
    <row r="41" spans="4:64" ht="11.25" customHeight="1">
      <c r="AK41" s="302"/>
    </row>
    <row r="42" spans="4:64" ht="11.25" customHeight="1">
      <c r="AK42" s="302"/>
    </row>
    <row r="43" spans="4:64" ht="11.25" customHeight="1">
      <c r="AK43" s="302"/>
    </row>
    <row r="44" spans="4:64" ht="11.25" customHeight="1">
      <c r="AK44" s="302"/>
    </row>
    <row r="45" spans="4:64" ht="11.25" customHeight="1">
      <c r="AK45" s="302"/>
    </row>
    <row r="46" spans="4:64" ht="11.25" customHeight="1">
      <c r="AK46" s="302"/>
    </row>
    <row r="47" spans="4:64" ht="11.25" customHeight="1">
      <c r="AK47" s="302"/>
    </row>
    <row r="48" spans="4:64" ht="11.25" customHeight="1">
      <c r="AK48" s="302"/>
    </row>
    <row r="49" spans="37:37" ht="11.25" customHeight="1">
      <c r="AK49" s="302"/>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sheetPr>
    <tabColor theme="3" tint="0.59999389629810485"/>
  </sheetPr>
  <dimension ref="A1:I58"/>
  <sheetViews>
    <sheetView showGridLines="0" topLeftCell="C3" zoomScale="90" workbookViewId="0"/>
  </sheetViews>
  <sheetFormatPr defaultColWidth="9.140625" defaultRowHeight="11.25" customHeight="1"/>
  <cols>
    <col min="1" max="1" width="15" style="1665" hidden="1" customWidth="1"/>
    <col min="2" max="2" width="15" style="1667" hidden="1" customWidth="1"/>
    <col min="3" max="3" width="3.7109375" style="1669" customWidth="1"/>
    <col min="4" max="4" width="6.85546875" style="1670" customWidth="1"/>
    <col min="5" max="5" width="52.28515625" style="1669" customWidth="1"/>
    <col min="6" max="6" width="48.85546875" style="1669" customWidth="1"/>
    <col min="7" max="7" width="121.7109375" style="1669" customWidth="1"/>
    <col min="8" max="8" width="9.140625" style="1669"/>
    <col min="9" max="9" width="65" style="1669" customWidth="1"/>
  </cols>
  <sheetData>
    <row r="1" spans="1:9" ht="11.25" hidden="1" customHeight="1">
      <c r="A1" s="1454" t="s">
        <v>223</v>
      </c>
    </row>
    <row r="2" spans="1:9" ht="11.25" hidden="1" customHeight="1"/>
    <row r="3" spans="1:9" s="1666" customFormat="1" ht="11.25" customHeight="1">
      <c r="A3" s="1454"/>
      <c r="B3" s="369"/>
      <c r="D3" s="346"/>
    </row>
    <row r="4" spans="1:9" ht="25.5" customHeight="1">
      <c r="D4" s="20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8"/>
      <c r="F4" s="2029"/>
      <c r="I4" s="542"/>
    </row>
    <row r="5" spans="1:9" ht="17.25" customHeight="1">
      <c r="D5" s="2059" t="e">
        <f>IF(org=0,"Не определено",org)</f>
        <v>#REF!</v>
      </c>
      <c r="E5" s="2059"/>
      <c r="F5" s="2059"/>
      <c r="I5" s="542"/>
    </row>
    <row r="6" spans="1:9" s="1666" customFormat="1" ht="11.25" customHeight="1">
      <c r="A6" s="1454"/>
      <c r="B6" s="369"/>
      <c r="D6" s="541"/>
      <c r="E6" s="541"/>
      <c r="F6" s="577"/>
      <c r="G6" s="541"/>
    </row>
    <row r="7" spans="1:9" ht="11.25" hidden="1" customHeight="1">
      <c r="A7" s="327"/>
      <c r="B7" s="370"/>
      <c r="C7" s="327"/>
      <c r="D7" s="332"/>
      <c r="E7" s="2066"/>
      <c r="F7" s="2066"/>
    </row>
    <row r="8" spans="1:9" ht="11.25" customHeight="1">
      <c r="A8" s="327"/>
      <c r="B8" s="370"/>
      <c r="C8" s="327"/>
      <c r="D8" s="2062" t="s">
        <v>224</v>
      </c>
      <c r="E8" s="2063"/>
      <c r="F8" s="2063"/>
      <c r="G8" s="2067" t="s">
        <v>225</v>
      </c>
    </row>
    <row r="9" spans="1:9" ht="11.25" customHeight="1">
      <c r="A9" s="327"/>
      <c r="B9" s="370"/>
      <c r="C9" s="327"/>
      <c r="D9" s="341" t="s">
        <v>22</v>
      </c>
      <c r="E9" s="320" t="s">
        <v>226</v>
      </c>
      <c r="F9" s="320" t="s">
        <v>227</v>
      </c>
      <c r="G9" s="2068"/>
    </row>
    <row r="10" spans="1:9" ht="12" hidden="1" customHeight="1">
      <c r="A10" s="327"/>
      <c r="B10" s="370"/>
      <c r="C10" s="327"/>
      <c r="D10" s="333"/>
      <c r="E10" s="333"/>
      <c r="F10" s="333"/>
      <c r="G10" s="333"/>
    </row>
    <row r="11" spans="1:9" ht="22.5" hidden="1" customHeight="1">
      <c r="A11" s="327"/>
      <c r="B11" s="370"/>
      <c r="C11" s="327"/>
      <c r="D11" s="792" t="s">
        <v>43</v>
      </c>
      <c r="E11" s="795" t="s">
        <v>228</v>
      </c>
      <c r="F11" s="794" t="e">
        <f>IF(region_name="","",region_name)</f>
        <v>#REF!</v>
      </c>
      <c r="G11" s="795" t="s">
        <v>229</v>
      </c>
      <c r="H11" s="344"/>
    </row>
    <row r="12" spans="1:9" ht="22.5" hidden="1" customHeight="1">
      <c r="A12" s="327"/>
      <c r="B12" s="370"/>
      <c r="C12" s="327"/>
      <c r="D12" s="319" t="s">
        <v>43</v>
      </c>
      <c r="E12" s="31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17" t="s">
        <v>230</v>
      </c>
      <c r="G12" s="343"/>
      <c r="H12" s="344"/>
    </row>
    <row r="13" spans="1:9" ht="22.5" customHeight="1">
      <c r="A13" s="327"/>
      <c r="B13" s="370"/>
      <c r="C13" s="327"/>
      <c r="D13" s="319" t="s">
        <v>43</v>
      </c>
      <c r="E13" s="316" t="str">
        <f>"Наименование юридического лица"&amp;IF(TEMPLATE_SPHERE="TKO"," (индивидуального предпринимателя)","")</f>
        <v>Наименование юридического лица</v>
      </c>
      <c r="F13" s="315"/>
      <c r="G13" s="31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44"/>
    </row>
    <row r="14" spans="1:9" ht="22.5" hidden="1" customHeight="1">
      <c r="A14" s="327"/>
      <c r="B14" s="370"/>
      <c r="C14" s="327"/>
      <c r="D14" s="792" t="s">
        <v>231</v>
      </c>
      <c r="E14" s="793" t="s">
        <v>232</v>
      </c>
      <c r="F14" s="794" t="e">
        <f>IF(inn="","",inn)</f>
        <v>#REF!</v>
      </c>
      <c r="G14" s="795" t="s">
        <v>233</v>
      </c>
      <c r="H14" s="344"/>
    </row>
    <row r="15" spans="1:9" ht="22.5" hidden="1" customHeight="1">
      <c r="A15" s="327"/>
      <c r="B15" s="370"/>
      <c r="C15" s="327"/>
      <c r="D15" s="792" t="s">
        <v>234</v>
      </c>
      <c r="E15" s="793" t="s">
        <v>235</v>
      </c>
      <c r="F15" s="794" t="e">
        <f>IF(kpp="","",kpp)</f>
        <v>#REF!</v>
      </c>
      <c r="G15" s="795" t="s">
        <v>236</v>
      </c>
      <c r="H15" s="344"/>
    </row>
    <row r="16" spans="1:9" ht="36.75" customHeight="1">
      <c r="A16" s="327"/>
      <c r="B16" s="370"/>
      <c r="C16" s="327"/>
      <c r="D16" s="319" t="s">
        <v>44</v>
      </c>
      <c r="E16" s="31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15"/>
      <c r="G16" s="31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44"/>
    </row>
    <row r="17" spans="1:9" ht="22.5" customHeight="1">
      <c r="A17" s="327"/>
      <c r="B17" s="370"/>
      <c r="C17" s="327"/>
      <c r="D17" s="319" t="s">
        <v>24</v>
      </c>
      <c r="E17" s="316" t="str">
        <f>"Дата присвоения ОГРН"&amp;IF(TEMPLATE_SPHERE="TKO",""," (ОГРНИП)")</f>
        <v>Дата присвоения ОГРН (ОГРНИП)</v>
      </c>
      <c r="F17" s="1472" t="s">
        <v>1</v>
      </c>
      <c r="G17" s="318" t="str">
        <f>"Дата присвоения ОГРН"&amp;IF(TEMPLATE_SPHERE="TKO",""," (ОГРНИП)")&amp;" указывается в виде «ДД.ММ.ГГГГ»."</f>
        <v>Дата присвоения ОГРН (ОГРНИП) указывается в виде «ДД.ММ.ГГГГ».</v>
      </c>
      <c r="H17" s="344"/>
    </row>
    <row r="18" spans="1:9" ht="56.25" customHeight="1">
      <c r="A18" s="327"/>
      <c r="B18" s="370"/>
      <c r="C18" s="327"/>
      <c r="D18" s="319" t="s">
        <v>25</v>
      </c>
      <c r="E18" s="31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15"/>
      <c r="G18" s="343"/>
      <c r="H18" s="344"/>
    </row>
    <row r="19" spans="1:9" ht="22.5" hidden="1" customHeight="1">
      <c r="A19" s="2064">
        <v>1</v>
      </c>
      <c r="B19" s="370"/>
      <c r="C19" s="2069"/>
      <c r="D19" s="314">
        <v>5</v>
      </c>
      <c r="E19" s="316" t="s">
        <v>237</v>
      </c>
      <c r="F19" s="317" t="s">
        <v>230</v>
      </c>
      <c r="G19" s="318" t="s">
        <v>238</v>
      </c>
      <c r="H19" s="344"/>
      <c r="I19" s="650"/>
    </row>
    <row r="20" spans="1:9" ht="33.75" hidden="1" customHeight="1">
      <c r="A20" s="2064"/>
      <c r="B20" s="370"/>
      <c r="C20" s="2069"/>
      <c r="D20" s="319" t="s">
        <v>239</v>
      </c>
      <c r="E20" s="313" t="s">
        <v>240</v>
      </c>
      <c r="F20" s="671" t="s">
        <v>1</v>
      </c>
      <c r="G20" s="343"/>
      <c r="H20" s="344"/>
      <c r="I20" s="650"/>
    </row>
    <row r="21" spans="1:9" ht="22.5" hidden="1" customHeight="1">
      <c r="A21" s="2064"/>
      <c r="B21" s="370"/>
      <c r="C21" s="2069"/>
      <c r="D21" s="319" t="s">
        <v>241</v>
      </c>
      <c r="E21" s="313" t="s">
        <v>242</v>
      </c>
      <c r="F21" s="1473" t="s">
        <v>1</v>
      </c>
      <c r="G21" s="318" t="s">
        <v>243</v>
      </c>
      <c r="H21" s="344"/>
      <c r="I21" s="650"/>
    </row>
    <row r="22" spans="1:9" ht="22.5" hidden="1" customHeight="1">
      <c r="A22" s="2064"/>
      <c r="B22" s="370"/>
      <c r="C22" s="2069"/>
      <c r="D22" s="319" t="s">
        <v>244</v>
      </c>
      <c r="E22" s="313" t="s">
        <v>245</v>
      </c>
      <c r="F22" s="671" t="s">
        <v>1</v>
      </c>
      <c r="G22" s="343"/>
      <c r="H22" s="344"/>
      <c r="I22" s="650"/>
    </row>
    <row r="23" spans="1:9" ht="22.5" hidden="1" customHeight="1">
      <c r="A23" s="2064"/>
      <c r="B23" s="370"/>
      <c r="C23" s="2069"/>
      <c r="D23" s="319" t="s">
        <v>246</v>
      </c>
      <c r="E23" s="313" t="s">
        <v>247</v>
      </c>
      <c r="F23" s="671" t="s">
        <v>1</v>
      </c>
      <c r="G23" s="318" t="s">
        <v>248</v>
      </c>
      <c r="H23" s="344"/>
      <c r="I23" s="650"/>
    </row>
    <row r="24" spans="1:9" s="1667" customFormat="1" ht="24.75" hidden="1" customHeight="1">
      <c r="A24" s="327"/>
      <c r="B24" s="370"/>
      <c r="C24" s="370"/>
      <c r="D24" s="789" t="s">
        <v>24</v>
      </c>
      <c r="E24" s="791" t="s">
        <v>249</v>
      </c>
      <c r="F24" s="796" t="s">
        <v>230</v>
      </c>
      <c r="G24" s="791"/>
    </row>
    <row r="25" spans="1:9" s="1667" customFormat="1" ht="11.25" hidden="1" customHeight="1">
      <c r="A25" s="327"/>
      <c r="B25" s="370"/>
      <c r="C25" s="370"/>
      <c r="D25" s="789" t="s">
        <v>250</v>
      </c>
      <c r="E25" s="790" t="s">
        <v>251</v>
      </c>
      <c r="F25" s="796" t="s">
        <v>230</v>
      </c>
      <c r="G25" s="791"/>
    </row>
    <row r="26" spans="1:9" s="1667" customFormat="1" ht="11.25" hidden="1" customHeight="1">
      <c r="A26" s="327"/>
      <c r="B26" s="370"/>
      <c r="C26" s="370"/>
      <c r="D26" s="789" t="s">
        <v>252</v>
      </c>
      <c r="E26" s="797" t="s">
        <v>253</v>
      </c>
      <c r="F26" s="798"/>
      <c r="G26" s="7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667" customFormat="1" ht="11.25" hidden="1" customHeight="1">
      <c r="A27" s="327"/>
      <c r="B27" s="370"/>
      <c r="C27" s="370"/>
      <c r="D27" s="789" t="s">
        <v>254</v>
      </c>
      <c r="E27" s="797" t="s">
        <v>255</v>
      </c>
      <c r="F27" s="798"/>
      <c r="G27" s="7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667" customFormat="1" ht="11.25" hidden="1" customHeight="1">
      <c r="A28" s="327"/>
      <c r="B28" s="370"/>
      <c r="C28" s="370"/>
      <c r="D28" s="789" t="s">
        <v>256</v>
      </c>
      <c r="E28" s="797" t="s">
        <v>257</v>
      </c>
      <c r="F28" s="798"/>
      <c r="G28" s="7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667" customFormat="1" ht="11.25" hidden="1" customHeight="1">
      <c r="A29" s="327"/>
      <c r="B29" s="370"/>
      <c r="C29" s="370"/>
      <c r="D29" s="789" t="s">
        <v>258</v>
      </c>
      <c r="E29" s="790" t="s">
        <v>259</v>
      </c>
      <c r="F29" s="798"/>
      <c r="G29" s="791"/>
    </row>
    <row r="30" spans="1:9" s="1667" customFormat="1" ht="11.25" hidden="1" customHeight="1">
      <c r="A30" s="327"/>
      <c r="B30" s="370"/>
      <c r="C30" s="370"/>
      <c r="D30" s="789" t="s">
        <v>260</v>
      </c>
      <c r="E30" s="790" t="s">
        <v>261</v>
      </c>
      <c r="F30" s="798"/>
      <c r="G30" s="791"/>
    </row>
    <row r="31" spans="1:9" s="1667" customFormat="1" ht="11.25" hidden="1" customHeight="1">
      <c r="A31" s="327"/>
      <c r="B31" s="370"/>
      <c r="C31" s="370"/>
      <c r="D31" s="789" t="s">
        <v>262</v>
      </c>
      <c r="E31" s="790" t="s">
        <v>263</v>
      </c>
      <c r="F31" s="799"/>
      <c r="G31" s="791"/>
    </row>
    <row r="32" spans="1:9" ht="22.5" customHeight="1">
      <c r="A32" s="327" t="str">
        <f>IF(TEMPLATE_SPHERE="HEAT","6","5")</f>
        <v>6</v>
      </c>
      <c r="B32" s="370"/>
      <c r="C32" s="327"/>
      <c r="D32" s="314" t="str">
        <f>A32</f>
        <v>6</v>
      </c>
      <c r="E32" s="31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17" t="s">
        <v>230</v>
      </c>
      <c r="G32" s="343"/>
      <c r="H32" s="344"/>
    </row>
    <row r="33" spans="1:8" ht="22.5" customHeight="1">
      <c r="A33" s="327"/>
      <c r="B33" s="370"/>
      <c r="C33" s="327"/>
      <c r="D33" s="314" t="str">
        <f>D32&amp;".1"</f>
        <v>6.1</v>
      </c>
      <c r="E33" s="316" t="str">
        <f>"фамилия"&amp;IF(TEMPLATE_SPHERE&lt;&gt;"HEAT"," руководителя","")</f>
        <v>фамилия</v>
      </c>
      <c r="F33" s="315"/>
      <c r="G33" s="31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44"/>
    </row>
    <row r="34" spans="1:8" ht="22.5" customHeight="1">
      <c r="A34" s="327"/>
      <c r="B34" s="370"/>
      <c r="C34" s="327"/>
      <c r="D34" s="314" t="str">
        <f>D32&amp;".2"</f>
        <v>6.2</v>
      </c>
      <c r="E34" s="316" t="str">
        <f>"имя"&amp;IF(TEMPLATE_SPHERE&lt;&gt;"HEAT"," руководителя","")</f>
        <v>имя</v>
      </c>
      <c r="F34" s="315"/>
      <c r="G34" s="31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44"/>
    </row>
    <row r="35" spans="1:8" ht="22.5" customHeight="1">
      <c r="A35" s="327"/>
      <c r="B35" s="370"/>
      <c r="C35" s="327"/>
      <c r="D35" s="314" t="str">
        <f>D32&amp;".3"</f>
        <v>6.3</v>
      </c>
      <c r="E35" s="316" t="str">
        <f>"отчество"&amp;IF(TEMPLATE_SPHERE&lt;&gt;"HEAT"," руководителя","")</f>
        <v>отчество</v>
      </c>
      <c r="F35" s="527"/>
      <c r="G35" s="31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44"/>
    </row>
    <row r="36" spans="1:8" ht="33.75" customHeight="1">
      <c r="A36" s="327"/>
      <c r="B36" s="370"/>
      <c r="C36" s="327"/>
      <c r="D36" s="314">
        <f>D32+1</f>
        <v>7</v>
      </c>
      <c r="E36" s="31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15"/>
      <c r="G36" s="318" t="s">
        <v>264</v>
      </c>
      <c r="H36" s="344"/>
    </row>
    <row r="37" spans="1:8" ht="33.75" customHeight="1">
      <c r="A37" s="327"/>
      <c r="B37" s="370"/>
      <c r="C37" s="327"/>
      <c r="D37" s="314">
        <f>D36+1</f>
        <v>8</v>
      </c>
      <c r="E37" s="31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15"/>
      <c r="G37" s="318" t="s">
        <v>264</v>
      </c>
      <c r="H37" s="344"/>
    </row>
    <row r="38" spans="1:8" ht="22.5" customHeight="1">
      <c r="A38" s="327"/>
      <c r="B38" s="370"/>
      <c r="C38" s="327"/>
      <c r="D38" s="314">
        <f>D37+1</f>
        <v>9</v>
      </c>
      <c r="E38" s="31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17" t="s">
        <v>230</v>
      </c>
      <c r="G38" s="207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44"/>
    </row>
    <row r="39" spans="1:8" ht="22.5" hidden="1" customHeight="1">
      <c r="A39" s="327"/>
      <c r="B39" s="370"/>
      <c r="C39" s="327"/>
      <c r="D39" s="314" t="str">
        <f>D38&amp;".0"</f>
        <v>9.0</v>
      </c>
      <c r="E39" s="1382"/>
      <c r="F39" s="671"/>
      <c r="G39" s="2071"/>
      <c r="H39" s="344"/>
    </row>
    <row r="40" spans="1:8" ht="22.5" customHeight="1">
      <c r="A40" s="327"/>
      <c r="B40" s="327"/>
      <c r="C40" s="1456"/>
      <c r="D40" s="314" t="str">
        <f>D38&amp;".1"</f>
        <v>9.1</v>
      </c>
      <c r="E40" s="658"/>
      <c r="F40" s="659"/>
      <c r="G40" s="2071"/>
      <c r="H40" s="344"/>
    </row>
    <row r="41" spans="1:8" ht="15" customHeight="1">
      <c r="A41" s="327"/>
      <c r="B41" s="370"/>
      <c r="C41" s="327"/>
      <c r="D41" s="336"/>
      <c r="E41" s="295" t="s">
        <v>265</v>
      </c>
      <c r="F41" s="338"/>
      <c r="G41" s="2072"/>
      <c r="H41" s="345"/>
    </row>
    <row r="42" spans="1:8" ht="25.5" customHeight="1">
      <c r="A42" s="327"/>
      <c r="B42" s="370"/>
      <c r="C42" s="327"/>
      <c r="D42" s="314">
        <f>D38+1</f>
        <v>10</v>
      </c>
      <c r="E42" s="31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660"/>
      <c r="G42" s="31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44"/>
    </row>
    <row r="43" spans="1:8" ht="22.5" customHeight="1">
      <c r="A43" s="327"/>
      <c r="B43" s="370"/>
      <c r="C43" s="327"/>
      <c r="D43" s="314">
        <f>D42+1</f>
        <v>11</v>
      </c>
      <c r="E43" s="31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65"/>
      <c r="G43" s="343" t="s">
        <v>266</v>
      </c>
      <c r="H43" s="344"/>
    </row>
    <row r="44" spans="1:8" ht="22.5" customHeight="1">
      <c r="A44" s="327"/>
      <c r="B44" s="370"/>
      <c r="C44" s="327"/>
      <c r="D44" s="314">
        <f>D43+1</f>
        <v>12</v>
      </c>
      <c r="E44" s="312" t="s">
        <v>267</v>
      </c>
      <c r="F44" s="317" t="s">
        <v>230</v>
      </c>
      <c r="G44" s="311" t="str">
        <f>IF(TEMPLATE_SPHERE="TKO","Указывается режим работы организации.","")</f>
        <v/>
      </c>
      <c r="H44" s="344"/>
    </row>
    <row r="45" spans="1:8" ht="22.5" customHeight="1">
      <c r="A45" s="327"/>
      <c r="B45" s="370"/>
      <c r="C45" s="327"/>
      <c r="D45" s="314" t="str">
        <f>D44&amp;".1"</f>
        <v>12.1</v>
      </c>
      <c r="E45" s="316" t="str">
        <f>"режим работы регулируемой организации"&amp;IF(TEMPLATE_SPHERE="HEAT",", ЕТО, ТО","")</f>
        <v>режим работы регулируемой организации, ЕТО, ТО</v>
      </c>
      <c r="F45" s="1452"/>
      <c r="G45" s="311" t="s">
        <v>268</v>
      </c>
      <c r="H45" s="344"/>
    </row>
    <row r="46" spans="1:8" ht="22.5" customHeight="1">
      <c r="A46" s="2060"/>
      <c r="B46" s="370"/>
      <c r="C46" s="360"/>
      <c r="D46" s="314" t="str">
        <f>D44&amp;".2"</f>
        <v>12.2</v>
      </c>
      <c r="E46" s="316" t="s">
        <v>269</v>
      </c>
      <c r="F46" s="358"/>
      <c r="G46" s="311" t="s">
        <v>270</v>
      </c>
      <c r="H46" s="344"/>
    </row>
    <row r="47" spans="1:8" ht="22.5" customHeight="1">
      <c r="A47" s="2060"/>
      <c r="B47" s="370"/>
      <c r="C47" s="360"/>
      <c r="D47" s="314" t="str">
        <f>D44&amp;".3"</f>
        <v>12.3</v>
      </c>
      <c r="E47" s="316" t="s">
        <v>271</v>
      </c>
      <c r="F47" s="358"/>
      <c r="G47" s="311" t="s">
        <v>272</v>
      </c>
      <c r="H47" s="344"/>
    </row>
    <row r="48" spans="1:8" ht="22.5" customHeight="1">
      <c r="A48" s="2060"/>
      <c r="B48" s="370"/>
      <c r="C48" s="360"/>
      <c r="D48" s="314" t="str">
        <f>IF(TEMPLATE_SPHERE="TKO",D44&amp;".0",D44&amp;".4")</f>
        <v>12.4</v>
      </c>
      <c r="E48" s="310" t="s">
        <v>273</v>
      </c>
      <c r="F48" s="1453"/>
      <c r="G48" s="1499" t="s">
        <v>274</v>
      </c>
      <c r="H48" s="344"/>
    </row>
    <row r="49" spans="1:9" ht="22.5" customHeight="1">
      <c r="A49" s="327"/>
      <c r="B49" s="370"/>
      <c r="C49" s="327"/>
      <c r="D49" s="336"/>
      <c r="E49" s="295" t="s">
        <v>275</v>
      </c>
      <c r="F49" s="337"/>
      <c r="G49" s="1499" t="s">
        <v>276</v>
      </c>
      <c r="H49" s="345"/>
    </row>
    <row r="50" spans="1:9" ht="22.5" customHeight="1">
      <c r="A50" s="656"/>
      <c r="B50" s="370"/>
      <c r="C50" s="360"/>
      <c r="D50" s="314">
        <f>D44+1</f>
        <v>13</v>
      </c>
      <c r="E50" s="392" t="s">
        <v>277</v>
      </c>
      <c r="F50" s="358"/>
      <c r="G50" s="145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44"/>
    </row>
    <row r="51" spans="1:9" ht="11.25" customHeight="1">
      <c r="A51" s="327"/>
      <c r="B51" s="370"/>
      <c r="C51" s="327"/>
    </row>
    <row r="52" spans="1:9" s="1668" customFormat="1" ht="30" customHeight="1">
      <c r="A52" s="1455"/>
      <c r="B52" s="371"/>
      <c r="C52" s="2061"/>
      <c r="D52" s="206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65"/>
      <c r="F52" s="2065"/>
      <c r="G52" s="2065"/>
      <c r="H52" s="326"/>
      <c r="I52" s="326"/>
    </row>
    <row r="53" spans="1:9" s="1668" customFormat="1" ht="39.75" customHeight="1">
      <c r="A53" s="327"/>
      <c r="B53" s="370"/>
      <c r="C53" s="2061"/>
      <c r="D53" s="206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65"/>
      <c r="F53" s="2065"/>
      <c r="G53" s="2065"/>
    </row>
    <row r="54" spans="1:9" ht="11.25" customHeight="1">
      <c r="D54" s="328"/>
      <c r="E54" s="329"/>
      <c r="F54" s="329"/>
      <c r="G54" s="329"/>
    </row>
    <row r="55" spans="1:9" ht="27" customHeight="1">
      <c r="D55" s="330"/>
      <c r="E55" s="328"/>
      <c r="F55" s="339"/>
      <c r="G55" s="339"/>
    </row>
    <row r="56" spans="1:9" ht="11.25" customHeight="1">
      <c r="D56" s="328"/>
      <c r="E56" s="328"/>
      <c r="F56" s="329"/>
      <c r="G56" s="329"/>
    </row>
    <row r="57" spans="1:9" ht="39" customHeight="1">
      <c r="D57" s="331"/>
      <c r="E57" s="340"/>
      <c r="F57" s="340"/>
      <c r="G57" s="340"/>
    </row>
    <row r="58" spans="1:9" ht="27" customHeight="1">
      <c r="D58" s="331"/>
      <c r="E58" s="340"/>
      <c r="F58" s="340"/>
      <c r="G58" s="340"/>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theme="3" tint="0.59999389629810485"/>
  </sheetPr>
  <dimension ref="A1:AS17"/>
  <sheetViews>
    <sheetView showGridLines="0" topLeftCell="C3" zoomScale="90" workbookViewId="0"/>
  </sheetViews>
  <sheetFormatPr defaultColWidth="10.5703125" defaultRowHeight="14.25" customHeight="1"/>
  <cols>
    <col min="1" max="1" width="9.140625" style="1676" hidden="1" customWidth="1"/>
    <col min="2" max="2" width="9.140625" style="1675" hidden="1" customWidth="1"/>
    <col min="3" max="3" width="3.7109375" style="1677" customWidth="1"/>
    <col min="4" max="4" width="5.5703125" style="1675" customWidth="1"/>
    <col min="5" max="5" width="48.42578125" style="1675" customWidth="1"/>
    <col min="6" max="6" width="38.140625" style="1675" customWidth="1"/>
    <col min="7" max="7" width="1.7109375" style="1625" hidden="1" customWidth="1"/>
    <col min="8" max="11" width="19.85546875" style="1675" customWidth="1"/>
    <col min="12" max="12" width="9.7109375" style="1675" customWidth="1"/>
    <col min="13" max="18" width="19.85546875" style="1675" customWidth="1"/>
    <col min="19" max="19" width="1.7109375" style="1625" hidden="1" customWidth="1"/>
    <col min="20" max="22" width="19.85546875" style="1678" hidden="1" customWidth="1"/>
    <col min="23" max="23" width="1.7109375" style="1625" hidden="1" customWidth="1"/>
    <col min="24" max="26" width="19.85546875" style="1678" hidden="1" customWidth="1"/>
    <col min="27" max="27" width="1.7109375" style="1625" hidden="1" customWidth="1"/>
    <col min="28" max="29" width="19.85546875" style="1678" hidden="1" customWidth="1"/>
    <col min="30" max="30" width="1.7109375" style="1625" hidden="1" customWidth="1"/>
    <col min="31" max="31" width="103.7109375" style="1675" customWidth="1"/>
    <col min="32" max="34" width="103.7109375" style="1678" hidden="1" customWidth="1"/>
    <col min="35" max="35" width="3.7109375" style="1679" customWidth="1"/>
    <col min="36" max="38" width="10.5703125" style="1674"/>
    <col min="39" max="39" width="13.7109375" style="1674" hidden="1" customWidth="1"/>
    <col min="40" max="40" width="15.42578125" style="1674" customWidth="1"/>
    <col min="41" max="41" width="16.28515625" style="1674" customWidth="1"/>
    <col min="42" max="45" width="10.5703125" style="1674"/>
  </cols>
  <sheetData>
    <row r="1" spans="1:45" ht="14.25" hidden="1" customHeight="1">
      <c r="E1" s="293"/>
      <c r="F1" s="293"/>
      <c r="G1" s="293"/>
      <c r="H1" s="2085" t="s">
        <v>278</v>
      </c>
      <c r="I1" s="2085"/>
      <c r="J1" s="2085"/>
      <c r="K1" s="2085"/>
      <c r="L1" s="2085"/>
      <c r="M1" s="2085"/>
      <c r="N1" s="2085"/>
      <c r="O1" s="2085"/>
      <c r="P1" s="2085"/>
      <c r="Q1" s="2085"/>
      <c r="R1" s="2085"/>
      <c r="T1" s="2085" t="s">
        <v>279</v>
      </c>
      <c r="U1" s="2085"/>
      <c r="V1" s="2085"/>
      <c r="X1" s="2085" t="s">
        <v>280</v>
      </c>
      <c r="Y1" s="2085"/>
      <c r="Z1" s="2085"/>
      <c r="AB1" s="2085" t="s">
        <v>281</v>
      </c>
      <c r="AC1" s="2085"/>
    </row>
    <row r="2" spans="1:45" ht="14.25" hidden="1" customHeight="1"/>
    <row r="3" spans="1:45" s="1671" customFormat="1" ht="6" customHeight="1">
      <c r="C3" s="529"/>
      <c r="D3" s="530"/>
      <c r="E3" s="530"/>
      <c r="F3" s="530"/>
      <c r="G3" s="530"/>
      <c r="H3" s="530" t="s">
        <v>282</v>
      </c>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J3" s="379"/>
      <c r="AK3" s="379"/>
      <c r="AL3" s="379"/>
      <c r="AM3" s="379"/>
      <c r="AN3" s="379"/>
      <c r="AO3" s="379"/>
      <c r="AP3" s="379"/>
      <c r="AQ3" s="379"/>
      <c r="AR3" s="379"/>
      <c r="AS3" s="379"/>
    </row>
    <row r="4" spans="1:45" ht="37.5" customHeight="1">
      <c r="C4" s="323"/>
      <c r="D4" s="20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8"/>
      <c r="F4" s="2028"/>
      <c r="G4" s="2028"/>
      <c r="H4" s="2028"/>
      <c r="I4" s="2028"/>
      <c r="J4" s="2028"/>
      <c r="K4" s="2028"/>
      <c r="L4" s="2028"/>
      <c r="M4" s="2028"/>
      <c r="N4" s="2028"/>
      <c r="O4" s="2028"/>
      <c r="P4" s="2028"/>
      <c r="Q4" s="2028"/>
      <c r="R4" s="2029"/>
      <c r="S4" s="651"/>
      <c r="T4" s="528"/>
      <c r="U4" s="528"/>
      <c r="V4" s="528"/>
      <c r="W4" s="528"/>
      <c r="X4" s="528"/>
      <c r="Y4" s="528"/>
      <c r="Z4" s="528"/>
      <c r="AA4" s="528"/>
      <c r="AB4" s="528"/>
      <c r="AC4" s="528"/>
      <c r="AD4" s="528"/>
      <c r="AE4" s="359"/>
      <c r="AF4" s="359"/>
      <c r="AG4" s="359"/>
      <c r="AH4" s="359"/>
      <c r="AI4" s="356"/>
    </row>
    <row r="5" spans="1:45" s="1625" customFormat="1" ht="17.25" customHeight="1">
      <c r="A5" s="583"/>
      <c r="C5" s="625"/>
      <c r="D5" s="2082" t="e">
        <f>IF(org=0,"Не определено",org)</f>
        <v>#REF!</v>
      </c>
      <c r="E5" s="2083"/>
      <c r="F5" s="2083"/>
      <c r="G5" s="2083"/>
      <c r="H5" s="2083"/>
      <c r="I5" s="2083"/>
      <c r="J5" s="2083"/>
      <c r="K5" s="2083"/>
      <c r="L5" s="2083"/>
      <c r="M5" s="2083"/>
      <c r="N5" s="2083"/>
      <c r="O5" s="2083"/>
      <c r="P5" s="2083"/>
      <c r="Q5" s="2083"/>
      <c r="R5" s="2084"/>
      <c r="S5" s="651"/>
      <c r="T5" s="528"/>
      <c r="U5" s="528"/>
      <c r="V5" s="528"/>
      <c r="W5" s="528"/>
      <c r="X5" s="528"/>
      <c r="Y5" s="528"/>
      <c r="Z5" s="528"/>
      <c r="AA5" s="528"/>
      <c r="AB5" s="528"/>
      <c r="AC5" s="528"/>
      <c r="AD5" s="528"/>
      <c r="AE5" s="359"/>
      <c r="AF5" s="359"/>
      <c r="AG5" s="359"/>
      <c r="AH5" s="359"/>
      <c r="AI5" s="356"/>
      <c r="AJ5" s="379"/>
      <c r="AK5" s="379"/>
      <c r="AL5" s="379"/>
      <c r="AM5" s="379"/>
      <c r="AN5" s="379"/>
      <c r="AO5" s="379"/>
      <c r="AP5" s="379"/>
      <c r="AQ5" s="379"/>
      <c r="AR5" s="379"/>
      <c r="AS5" s="379"/>
    </row>
    <row r="6" spans="1:45" s="1673" customFormat="1" ht="11.25" customHeight="1">
      <c r="A6" s="347"/>
      <c r="C6" s="354"/>
      <c r="D6" s="353"/>
      <c r="E6" s="353"/>
      <c r="F6" s="353"/>
      <c r="G6" s="353"/>
      <c r="H6" s="353"/>
      <c r="I6" s="353"/>
      <c r="J6" s="353"/>
      <c r="K6" s="353"/>
      <c r="L6" s="353"/>
      <c r="M6" s="353"/>
      <c r="N6" s="353"/>
      <c r="O6" s="353"/>
      <c r="P6" s="353"/>
      <c r="Q6" s="353"/>
      <c r="R6" s="577"/>
      <c r="S6" s="577"/>
      <c r="T6" s="353"/>
      <c r="U6" s="353"/>
      <c r="V6" s="539"/>
      <c r="W6" s="539"/>
      <c r="X6" s="353"/>
      <c r="Y6" s="353"/>
      <c r="Z6" s="539"/>
      <c r="AA6" s="539"/>
      <c r="AB6" s="353"/>
      <c r="AC6" s="539"/>
      <c r="AD6" s="539"/>
      <c r="AE6" s="353"/>
      <c r="AF6" s="353"/>
      <c r="AG6" s="353"/>
      <c r="AH6" s="353"/>
      <c r="AJ6" s="357"/>
      <c r="AK6" s="357"/>
      <c r="AL6" s="357"/>
      <c r="AM6" s="357"/>
      <c r="AN6" s="357"/>
      <c r="AO6" s="357"/>
      <c r="AP6" s="357"/>
      <c r="AQ6" s="357"/>
      <c r="AR6" s="357"/>
      <c r="AS6" s="357"/>
    </row>
    <row r="7" spans="1:45" ht="14.25" customHeight="1">
      <c r="C7" s="323"/>
      <c r="D7" s="2073" t="s">
        <v>224</v>
      </c>
      <c r="E7" s="2086"/>
      <c r="F7" s="2086"/>
      <c r="G7" s="2086"/>
      <c r="H7" s="2086"/>
      <c r="I7" s="2086"/>
      <c r="J7" s="2086"/>
      <c r="K7" s="2086"/>
      <c r="L7" s="2086"/>
      <c r="M7" s="2086"/>
      <c r="N7" s="2086"/>
      <c r="O7" s="2086"/>
      <c r="P7" s="2086"/>
      <c r="Q7" s="2086"/>
      <c r="R7" s="2086"/>
      <c r="S7" s="2086"/>
      <c r="T7" s="2086"/>
      <c r="U7" s="2086"/>
      <c r="V7" s="2086"/>
      <c r="W7" s="2086"/>
      <c r="X7" s="2086"/>
      <c r="Y7" s="2086"/>
      <c r="Z7" s="2086"/>
      <c r="AA7" s="2086"/>
      <c r="AB7" s="2086"/>
      <c r="AC7" s="2086"/>
      <c r="AD7" s="2087"/>
      <c r="AE7" s="2034" t="s">
        <v>225</v>
      </c>
      <c r="AF7" s="2034" t="s">
        <v>225</v>
      </c>
      <c r="AG7" s="2034" t="s">
        <v>225</v>
      </c>
      <c r="AH7" s="2034" t="s">
        <v>225</v>
      </c>
    </row>
    <row r="8" spans="1:45" ht="25.5" customHeight="1">
      <c r="C8" s="323"/>
      <c r="D8" s="2025" t="s">
        <v>22</v>
      </c>
      <c r="E8" s="2034" t="str">
        <f>"Наименование "&amp;IF(TEMPLATE_SPHERE&lt;&gt;"HEAT","централизованной ","")&amp;"системы "&amp;TEMPLATE_SPHERE_RUS</f>
        <v>Наименование системы теплоснабжения</v>
      </c>
      <c r="F8" s="2034" t="str">
        <f>IF(TEMPLATE_SPHERE&lt;&gt;"HEAT","Регулируемый вид деятельности","Вид регулируемой деятельности")</f>
        <v>Вид регулируемой деятельности</v>
      </c>
      <c r="G8" s="631"/>
      <c r="H8" s="2074" t="s">
        <v>283</v>
      </c>
      <c r="I8" s="2078" t="s">
        <v>284</v>
      </c>
      <c r="J8" s="2034" t="s">
        <v>285</v>
      </c>
      <c r="K8" s="2034"/>
      <c r="L8" s="2034"/>
      <c r="M8" s="2073"/>
      <c r="N8" s="2034" t="s">
        <v>286</v>
      </c>
      <c r="O8" s="2034"/>
      <c r="P8" s="2034" t="s">
        <v>287</v>
      </c>
      <c r="Q8" s="2034"/>
      <c r="R8" s="2076" t="s">
        <v>288</v>
      </c>
      <c r="S8" s="627"/>
      <c r="T8" s="2074" t="s">
        <v>289</v>
      </c>
      <c r="U8" s="2074" t="s">
        <v>290</v>
      </c>
      <c r="V8" s="2074" t="s">
        <v>291</v>
      </c>
      <c r="W8" s="629"/>
      <c r="X8" s="2074" t="s">
        <v>292</v>
      </c>
      <c r="Y8" s="2074" t="s">
        <v>293</v>
      </c>
      <c r="Z8" s="2074" t="s">
        <v>294</v>
      </c>
      <c r="AA8" s="629"/>
      <c r="AB8" s="2074" t="s">
        <v>295</v>
      </c>
      <c r="AC8" s="2074" t="s">
        <v>288</v>
      </c>
      <c r="AD8" s="629"/>
      <c r="AE8" s="2034"/>
      <c r="AF8" s="2034"/>
      <c r="AG8" s="2034"/>
      <c r="AH8" s="2034"/>
    </row>
    <row r="9" spans="1:45" ht="43.5" customHeight="1">
      <c r="C9" s="323"/>
      <c r="D9" s="2025"/>
      <c r="E9" s="2034"/>
      <c r="F9" s="2034"/>
      <c r="G9" s="632"/>
      <c r="H9" s="2075"/>
      <c r="I9" s="2079"/>
      <c r="J9" s="304" t="s">
        <v>296</v>
      </c>
      <c r="K9" s="304" t="s">
        <v>297</v>
      </c>
      <c r="L9" s="304" t="s">
        <v>298</v>
      </c>
      <c r="M9" s="305" t="s">
        <v>299</v>
      </c>
      <c r="N9" s="304" t="s">
        <v>300</v>
      </c>
      <c r="O9" s="304" t="s">
        <v>299</v>
      </c>
      <c r="P9" s="304" t="s">
        <v>301</v>
      </c>
      <c r="Q9" s="304" t="s">
        <v>299</v>
      </c>
      <c r="R9" s="2077"/>
      <c r="S9" s="628"/>
      <c r="T9" s="2075"/>
      <c r="U9" s="2075"/>
      <c r="V9" s="2075"/>
      <c r="W9" s="630"/>
      <c r="X9" s="2075"/>
      <c r="Y9" s="2075"/>
      <c r="Z9" s="2075"/>
      <c r="AA9" s="630"/>
      <c r="AB9" s="2075"/>
      <c r="AC9" s="2075"/>
      <c r="AD9" s="630"/>
      <c r="AE9" s="2034"/>
      <c r="AF9" s="2034"/>
      <c r="AG9" s="2034"/>
      <c r="AH9" s="2034"/>
    </row>
    <row r="10" spans="1:45" ht="12" hidden="1" customHeight="1">
      <c r="C10" s="355"/>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1"/>
      <c r="AP10" s="368"/>
      <c r="AQ10" s="368"/>
    </row>
    <row r="11" spans="1:45" s="1621" customFormat="1" ht="11.25" hidden="1" customHeight="1">
      <c r="C11" s="366"/>
      <c r="D11" s="367" t="s">
        <v>302</v>
      </c>
      <c r="E11" s="367"/>
      <c r="F11" s="367"/>
      <c r="G11" s="367"/>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09"/>
      <c r="AF11" s="309"/>
      <c r="AG11" s="309"/>
      <c r="AH11" s="309"/>
      <c r="AJ11" s="357"/>
      <c r="AK11" s="357"/>
      <c r="AL11" s="357"/>
      <c r="AM11" s="357"/>
      <c r="AN11" s="357"/>
      <c r="AO11" s="357"/>
      <c r="AP11" s="357"/>
      <c r="AQ11" s="357"/>
      <c r="AR11" s="357"/>
      <c r="AS11" s="357"/>
    </row>
    <row r="12" spans="1:45" ht="14.25" customHeight="1">
      <c r="A12" s="321"/>
      <c r="C12" s="323"/>
      <c r="D12" s="308" t="s">
        <v>43</v>
      </c>
      <c r="E12" s="1509" t="s">
        <v>1</v>
      </c>
      <c r="F12" s="653"/>
      <c r="G12" s="654"/>
      <c r="H12" s="1510"/>
      <c r="I12" s="1510"/>
      <c r="J12" s="307"/>
      <c r="K12" s="1595"/>
      <c r="L12" s="306"/>
      <c r="M12" s="1595"/>
      <c r="N12" s="307"/>
      <c r="O12" s="1595"/>
      <c r="P12" s="307"/>
      <c r="Q12" s="1595"/>
      <c r="R12" s="307"/>
      <c r="S12" s="652"/>
      <c r="T12" s="1510"/>
      <c r="U12" s="307"/>
      <c r="V12" s="307"/>
      <c r="W12" s="630"/>
      <c r="X12" s="1510"/>
      <c r="Y12" s="307"/>
      <c r="Z12" s="307"/>
      <c r="AA12" s="630"/>
      <c r="AB12" s="1510"/>
      <c r="AC12" s="307"/>
      <c r="AD12" s="630"/>
      <c r="AE12" s="2080" t="s">
        <v>303</v>
      </c>
      <c r="AF12" s="2080" t="s">
        <v>304</v>
      </c>
      <c r="AG12" s="2080" t="s">
        <v>305</v>
      </c>
      <c r="AH12" s="2080" t="s">
        <v>306</v>
      </c>
      <c r="AI12" s="321"/>
      <c r="AM12" s="379"/>
      <c r="AP12" s="368" t="s">
        <v>307</v>
      </c>
      <c r="AQ12" s="368" t="s">
        <v>307</v>
      </c>
    </row>
    <row r="13" spans="1:45" ht="17.25" customHeight="1">
      <c r="A13" s="321"/>
      <c r="C13" s="323"/>
      <c r="D13" s="290"/>
      <c r="E13" s="667" t="e">
        <f>IF(TITLE_DIFFERENTIATION_TYPE="нет","","Добавить систему")</f>
        <v>#REF!</v>
      </c>
      <c r="F13" s="667" t="e">
        <f>IF(TITLE_DIFFERENTIATION_TYPE="нет","Добавить вид деятельности","")</f>
        <v>#REF!</v>
      </c>
      <c r="G13" s="190"/>
      <c r="H13" s="291"/>
      <c r="I13" s="291"/>
      <c r="J13" s="291"/>
      <c r="K13" s="291"/>
      <c r="L13" s="291"/>
      <c r="M13" s="291"/>
      <c r="N13" s="291"/>
      <c r="O13" s="291"/>
      <c r="P13" s="291"/>
      <c r="Q13" s="291"/>
      <c r="R13" s="291"/>
      <c r="S13" s="291"/>
      <c r="T13" s="291"/>
      <c r="U13" s="291"/>
      <c r="V13" s="291"/>
      <c r="W13" s="291"/>
      <c r="X13" s="291"/>
      <c r="Y13" s="291"/>
      <c r="Z13" s="291"/>
      <c r="AA13" s="291"/>
      <c r="AB13" s="291"/>
      <c r="AC13" s="291"/>
      <c r="AD13" s="655"/>
      <c r="AE13" s="2081"/>
      <c r="AF13" s="2081"/>
      <c r="AG13" s="2081"/>
      <c r="AH13" s="2081"/>
      <c r="AI13" s="321"/>
    </row>
    <row r="14" spans="1:45" ht="14.25" customHeight="1">
      <c r="AI14" s="321"/>
    </row>
    <row r="15" spans="1:45" ht="14.25" customHeight="1">
      <c r="E15" s="582"/>
      <c r="L15" s="582"/>
    </row>
    <row r="16" spans="1:45" ht="14.25" customHeight="1">
      <c r="L16" s="582"/>
    </row>
    <row r="17" spans="12:12" ht="14.25" customHeight="1">
      <c r="L17" s="582"/>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U17"/>
  <sheetViews>
    <sheetView showGridLines="0" topLeftCell="C5" zoomScale="90" workbookViewId="0"/>
  </sheetViews>
  <sheetFormatPr defaultColWidth="10.5703125" defaultRowHeight="14.25" customHeight="1"/>
  <cols>
    <col min="1" max="1" width="9.140625" style="1685" hidden="1" customWidth="1"/>
    <col min="2" max="2" width="9.140625" style="1684" hidden="1" customWidth="1"/>
    <col min="3" max="3" width="3.7109375" style="1677" customWidth="1"/>
    <col min="4" max="4" width="5.5703125" style="1684" customWidth="1"/>
    <col min="5" max="5" width="38.140625" style="1684" customWidth="1"/>
    <col min="6" max="7" width="3.7109375" style="1684" customWidth="1"/>
    <col min="8" max="8" width="38.28515625" style="1684" customWidth="1"/>
    <col min="9" max="9" width="35.7109375" style="1684" customWidth="1"/>
    <col min="10" max="10" width="103.7109375" style="1684" customWidth="1"/>
    <col min="11" max="11" width="3.7109375" style="1662" customWidth="1"/>
    <col min="12" max="14" width="10.5703125" style="1682"/>
    <col min="15" max="15" width="13.7109375" style="1682" customWidth="1"/>
    <col min="16" max="16" width="15.42578125" style="1682" customWidth="1"/>
    <col min="17" max="17" width="16.28515625" style="1682" customWidth="1"/>
    <col min="18" max="21" width="10.5703125" style="1682"/>
  </cols>
  <sheetData>
    <row r="1" spans="1:21" ht="14.25" hidden="1" customHeight="1">
      <c r="E1" s="293"/>
      <c r="F1" s="293"/>
      <c r="G1" s="293"/>
      <c r="H1" s="2085" t="s">
        <v>278</v>
      </c>
      <c r="I1" s="2085"/>
    </row>
    <row r="2" spans="1:21" s="1680" customFormat="1" ht="14.25" hidden="1" customHeight="1">
      <c r="C2" s="1391"/>
      <c r="D2" s="2089" t="s">
        <v>43</v>
      </c>
      <c r="E2" s="2091"/>
      <c r="F2" s="1397"/>
      <c r="G2" s="1392" t="s">
        <v>43</v>
      </c>
      <c r="H2" s="1395"/>
      <c r="I2" s="1393"/>
      <c r="L2" s="1394"/>
      <c r="M2" s="1394"/>
      <c r="N2" s="1394"/>
      <c r="O2" s="1394" t="s">
        <v>308</v>
      </c>
      <c r="P2" s="1394"/>
      <c r="Q2" s="1394"/>
      <c r="R2" s="1396" t="s">
        <v>307</v>
      </c>
      <c r="S2" s="1396" t="s">
        <v>307</v>
      </c>
      <c r="T2" s="1394"/>
      <c r="U2" s="1394"/>
    </row>
    <row r="3" spans="1:21" s="1680" customFormat="1" ht="14.25" hidden="1" customHeight="1">
      <c r="C3" s="1391"/>
      <c r="D3" s="2090"/>
      <c r="E3" s="2092"/>
      <c r="F3" s="290"/>
      <c r="G3" s="667"/>
      <c r="H3" s="667" t="s">
        <v>309</v>
      </c>
      <c r="I3" s="190"/>
      <c r="L3" s="1394"/>
      <c r="M3" s="1394"/>
      <c r="N3" s="1394"/>
      <c r="O3" s="1394"/>
      <c r="P3" s="1394"/>
      <c r="Q3" s="1394"/>
      <c r="R3" s="1396"/>
      <c r="S3" s="1396"/>
      <c r="T3" s="1394"/>
      <c r="U3" s="1394"/>
    </row>
    <row r="4" spans="1:21" ht="14.25" hidden="1" customHeight="1"/>
    <row r="5" spans="1:21" s="1681" customFormat="1" ht="6" customHeight="1">
      <c r="C5" s="529"/>
      <c r="D5" s="530"/>
      <c r="E5" s="530"/>
      <c r="F5" s="530"/>
      <c r="G5" s="530"/>
      <c r="H5" s="530" t="s">
        <v>282</v>
      </c>
      <c r="I5" s="530"/>
      <c r="J5" s="530"/>
      <c r="L5" s="1387"/>
      <c r="M5" s="1387"/>
      <c r="N5" s="1387"/>
      <c r="O5" s="1387"/>
      <c r="P5" s="1387"/>
      <c r="Q5" s="1387"/>
      <c r="R5" s="1387"/>
      <c r="S5" s="1387"/>
      <c r="T5" s="1387"/>
      <c r="U5" s="1387"/>
    </row>
    <row r="6" spans="1:21" ht="27.75" customHeight="1">
      <c r="C6" s="1286"/>
      <c r="D6" s="2088" t="s">
        <v>310</v>
      </c>
      <c r="E6" s="2088"/>
      <c r="F6" s="2088"/>
      <c r="G6" s="2088"/>
      <c r="H6" s="2088"/>
      <c r="I6" s="2088"/>
      <c r="J6" s="359"/>
      <c r="K6" s="1388"/>
    </row>
    <row r="7" spans="1:21" ht="17.25" customHeight="1">
      <c r="C7" s="1286"/>
      <c r="D7" s="2059" t="e">
        <f>IF(org=0,"Не определено",org)</f>
        <v>#REF!</v>
      </c>
      <c r="E7" s="2059"/>
      <c r="F7" s="2059"/>
      <c r="G7" s="2059"/>
      <c r="H7" s="2059"/>
      <c r="I7" s="2059"/>
      <c r="J7" s="359"/>
      <c r="K7" s="1388"/>
    </row>
    <row r="8" spans="1:21" s="1683" customFormat="1" ht="6" customHeight="1">
      <c r="A8" s="1386"/>
      <c r="C8" s="354"/>
      <c r="D8" s="353"/>
      <c r="E8" s="353"/>
      <c r="F8" s="353"/>
      <c r="G8" s="353"/>
      <c r="H8" s="353"/>
      <c r="I8" s="353"/>
      <c r="J8" s="353"/>
      <c r="L8" s="1387"/>
      <c r="M8" s="1387"/>
      <c r="N8" s="1387"/>
      <c r="O8" s="1387"/>
      <c r="P8" s="1387"/>
      <c r="Q8" s="1387"/>
      <c r="R8" s="1387"/>
      <c r="S8" s="1387"/>
      <c r="T8" s="1387"/>
      <c r="U8" s="1387"/>
    </row>
    <row r="9" spans="1:21" s="1683" customFormat="1" ht="6" customHeight="1">
      <c r="A9" s="1386"/>
      <c r="C9" s="354"/>
      <c r="D9" s="353"/>
      <c r="E9" s="353"/>
      <c r="F9" s="353"/>
      <c r="G9" s="353"/>
      <c r="H9" s="353"/>
      <c r="I9" s="353"/>
      <c r="J9" s="353"/>
      <c r="L9" s="1394"/>
      <c r="M9" s="1394"/>
      <c r="N9" s="1394"/>
      <c r="O9" s="1394"/>
      <c r="P9" s="1394"/>
      <c r="Q9" s="1394"/>
      <c r="R9" s="1394"/>
      <c r="S9" s="1394"/>
      <c r="T9" s="1394"/>
      <c r="U9" s="1394"/>
    </row>
    <row r="10" spans="1:21" ht="14.25" customHeight="1">
      <c r="C10" s="1286"/>
      <c r="D10" s="2073" t="s">
        <v>224</v>
      </c>
      <c r="E10" s="2086"/>
      <c r="F10" s="2086"/>
      <c r="G10" s="2086"/>
      <c r="H10" s="2086"/>
      <c r="I10" s="2086"/>
      <c r="J10" s="2034" t="s">
        <v>225</v>
      </c>
    </row>
    <row r="11" spans="1:21" ht="25.5" customHeight="1">
      <c r="C11" s="1286"/>
      <c r="D11" s="2025" t="s">
        <v>22</v>
      </c>
      <c r="E11" s="2034" t="str">
        <f>IF(TEMPLATE_SPHERE&lt;&gt;"HEAT","Регулируемый вид деятельности","Вид регулируемой деятельности")</f>
        <v>Вид регулируемой деятельности</v>
      </c>
      <c r="F11" s="2037" t="s">
        <v>22</v>
      </c>
      <c r="G11" s="2038"/>
      <c r="H11" s="2036" t="s">
        <v>311</v>
      </c>
      <c r="I11" s="2036" t="s">
        <v>312</v>
      </c>
      <c r="J11" s="2034"/>
    </row>
    <row r="12" spans="1:21" ht="14.25" customHeight="1">
      <c r="C12" s="1286"/>
      <c r="D12" s="2025"/>
      <c r="E12" s="2034"/>
      <c r="F12" s="2042"/>
      <c r="G12" s="2043"/>
      <c r="H12" s="2093"/>
      <c r="I12" s="2093"/>
      <c r="J12" s="2034"/>
    </row>
    <row r="13" spans="1:21" s="1621" customFormat="1" ht="11.25" hidden="1" customHeight="1">
      <c r="C13" s="366"/>
      <c r="D13" s="367" t="s">
        <v>302</v>
      </c>
      <c r="E13" s="367"/>
      <c r="F13" s="367"/>
      <c r="G13" s="367"/>
      <c r="H13" s="365"/>
      <c r="I13" s="365"/>
      <c r="J13" s="309"/>
      <c r="L13" s="1387"/>
      <c r="M13" s="1387"/>
      <c r="N13" s="1387"/>
      <c r="O13" s="1387"/>
      <c r="P13" s="1387"/>
      <c r="Q13" s="1387"/>
      <c r="R13" s="1387"/>
      <c r="S13" s="1387"/>
      <c r="T13" s="1387"/>
      <c r="U13" s="1387"/>
    </row>
    <row r="14" spans="1:21" ht="14.25" customHeight="1">
      <c r="A14" s="1384"/>
      <c r="C14" s="1286"/>
      <c r="D14" s="2089" t="s">
        <v>43</v>
      </c>
      <c r="E14" s="2091"/>
      <c r="F14" s="1390"/>
      <c r="G14" s="1389" t="s">
        <v>43</v>
      </c>
      <c r="H14" s="1395"/>
      <c r="I14" s="1393"/>
      <c r="J14" s="2022" t="s">
        <v>313</v>
      </c>
      <c r="K14" s="1384"/>
      <c r="R14" s="368" t="s">
        <v>307</v>
      </c>
      <c r="S14" s="368" t="s">
        <v>307</v>
      </c>
    </row>
    <row r="15" spans="1:21" ht="14.25" customHeight="1">
      <c r="A15" s="1384"/>
      <c r="C15" s="1286"/>
      <c r="D15" s="2090"/>
      <c r="E15" s="2092"/>
      <c r="F15" s="290"/>
      <c r="G15" s="667"/>
      <c r="H15" s="667" t="s">
        <v>309</v>
      </c>
      <c r="I15" s="190"/>
      <c r="J15" s="2023"/>
      <c r="K15" s="1384"/>
      <c r="R15" s="368"/>
      <c r="S15" s="368"/>
    </row>
    <row r="16" spans="1:21" ht="14.25" customHeight="1">
      <c r="A16" s="1384"/>
      <c r="C16" s="1286"/>
      <c r="D16" s="290"/>
      <c r="E16" s="667" t="s">
        <v>59</v>
      </c>
      <c r="F16" s="190"/>
      <c r="G16" s="190"/>
      <c r="H16" s="291"/>
      <c r="I16" s="291"/>
      <c r="J16" s="2024"/>
      <c r="K16" s="1384"/>
    </row>
    <row r="17" spans="11:11" ht="14.25" customHeight="1">
      <c r="K17" s="1384"/>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D3" zoomScale="90" workbookViewId="0"/>
  </sheetViews>
  <sheetFormatPr defaultColWidth="10.5703125" defaultRowHeight="14.25" customHeight="1"/>
  <cols>
    <col min="1" max="1" width="9.140625" style="1676" hidden="1" customWidth="1"/>
    <col min="2" max="2" width="9.140625" style="1675" hidden="1" customWidth="1"/>
    <col min="3" max="3" width="9.140625" style="1625" hidden="1" customWidth="1"/>
    <col min="4" max="4" width="3.7109375" style="1677" customWidth="1"/>
    <col min="5" max="5" width="6.28515625" style="1675" customWidth="1"/>
    <col min="6" max="6" width="1.7109375" style="1625" hidden="1" customWidth="1"/>
    <col min="7" max="8" width="30.7109375" style="1675" customWidth="1"/>
    <col min="9" max="9" width="9" style="1675" customWidth="1"/>
    <col min="10" max="10" width="12.140625" style="1675" customWidth="1"/>
    <col min="11" max="11" width="46.7109375" style="1675" customWidth="1"/>
    <col min="12" max="12" width="100.28515625" style="1675" customWidth="1"/>
    <col min="13" max="13" width="7.5703125" style="1679" customWidth="1"/>
    <col min="14" max="22" width="10.5703125" style="1675"/>
  </cols>
  <sheetData>
    <row r="1" spans="1:22" s="1674" customFormat="1" ht="5.25" hidden="1" customHeight="1">
      <c r="C1" s="379"/>
      <c r="D1" s="362"/>
      <c r="F1" s="379"/>
      <c r="G1" s="357" t="s">
        <v>17</v>
      </c>
      <c r="H1" s="357" t="s">
        <v>18</v>
      </c>
      <c r="I1" s="357" t="s">
        <v>19</v>
      </c>
      <c r="P1" s="357" t="s">
        <v>17</v>
      </c>
      <c r="Q1" s="357" t="s">
        <v>18</v>
      </c>
      <c r="R1" s="357" t="s">
        <v>19</v>
      </c>
    </row>
    <row r="2" spans="1:22" s="1674" customFormat="1" ht="5.25" hidden="1" customHeight="1">
      <c r="C2" s="379"/>
      <c r="D2" s="362"/>
      <c r="F2" s="379"/>
    </row>
    <row r="3" spans="1:22" s="1673" customFormat="1" ht="6" customHeight="1">
      <c r="A3" s="347"/>
      <c r="D3" s="354"/>
      <c r="E3" s="349"/>
      <c r="F3" s="349"/>
      <c r="G3" s="349"/>
      <c r="H3" s="349"/>
      <c r="I3" s="350"/>
      <c r="J3" s="351"/>
      <c r="K3" s="351"/>
      <c r="L3" s="351"/>
    </row>
    <row r="4" spans="1:22" ht="22.5" customHeight="1">
      <c r="D4" s="323"/>
      <c r="E4" s="2094" t="s">
        <v>314</v>
      </c>
      <c r="F4" s="2094"/>
      <c r="G4" s="2095"/>
      <c r="H4" s="2095"/>
      <c r="I4" s="2096"/>
      <c r="J4" s="359"/>
      <c r="K4" s="325"/>
      <c r="L4" s="325"/>
    </row>
    <row r="5" spans="1:22" s="1625" customFormat="1" ht="17.25" customHeight="1">
      <c r="A5" s="583"/>
      <c r="D5" s="625"/>
      <c r="E5" s="2082" t="e">
        <f>IF(org=0,"Не определено",org)</f>
        <v>#REF!</v>
      </c>
      <c r="F5" s="2082"/>
      <c r="G5" s="2083"/>
      <c r="H5" s="2083"/>
      <c r="I5" s="2084"/>
      <c r="J5" s="359"/>
      <c r="K5" s="325"/>
      <c r="L5" s="325"/>
      <c r="M5" s="375"/>
    </row>
    <row r="6" spans="1:22" s="1673" customFormat="1" ht="11.25" customHeight="1">
      <c r="A6" s="347"/>
      <c r="D6" s="354"/>
      <c r="E6" s="349"/>
      <c r="F6" s="349"/>
      <c r="G6" s="352"/>
      <c r="H6" s="352"/>
      <c r="I6" s="353"/>
      <c r="J6" s="353"/>
      <c r="K6" s="577"/>
      <c r="L6" s="353"/>
    </row>
    <row r="7" spans="1:22" ht="14.25" customHeight="1">
      <c r="D7" s="323"/>
      <c r="E7" s="2067" t="s">
        <v>224</v>
      </c>
      <c r="F7" s="2067"/>
      <c r="G7" s="2068"/>
      <c r="H7" s="2068"/>
      <c r="I7" s="2068"/>
      <c r="J7" s="2068"/>
      <c r="K7" s="2068"/>
      <c r="L7" s="2034" t="s">
        <v>225</v>
      </c>
    </row>
    <row r="8" spans="1:22" ht="45" customHeight="1">
      <c r="D8" s="323"/>
      <c r="E8" s="342" t="s">
        <v>22</v>
      </c>
      <c r="F8" s="626"/>
      <c r="G8" s="334" t="s">
        <v>20</v>
      </c>
      <c r="H8" s="334" t="s">
        <v>21</v>
      </c>
      <c r="I8" s="294" t="s">
        <v>19</v>
      </c>
      <c r="J8" s="294" t="s">
        <v>315</v>
      </c>
      <c r="K8" s="294" t="s">
        <v>316</v>
      </c>
      <c r="L8" s="2034"/>
    </row>
    <row r="9" spans="1:22" ht="12" hidden="1" customHeight="1">
      <c r="D9" s="355"/>
      <c r="E9" s="361"/>
      <c r="F9" s="633"/>
      <c r="G9" s="361"/>
      <c r="H9" s="361"/>
      <c r="I9" s="361"/>
      <c r="J9" s="361"/>
      <c r="K9" s="361"/>
      <c r="L9" s="361"/>
      <c r="M9" s="321"/>
    </row>
    <row r="10" spans="1:22" ht="14.25" hidden="1" customHeight="1">
      <c r="A10" s="373"/>
      <c r="B10" s="373"/>
      <c r="D10" s="374"/>
      <c r="E10" s="380">
        <v>0</v>
      </c>
      <c r="F10" s="624"/>
      <c r="G10" s="376"/>
      <c r="H10" s="376"/>
      <c r="I10" s="376"/>
      <c r="J10" s="376"/>
      <c r="K10" s="376"/>
      <c r="L10" s="2080" t="s">
        <v>317</v>
      </c>
      <c r="M10" s="375"/>
      <c r="N10" s="373"/>
      <c r="O10" s="373"/>
      <c r="P10" s="373"/>
      <c r="Q10" s="373"/>
      <c r="R10" s="373"/>
      <c r="S10" s="373"/>
      <c r="T10" s="373"/>
      <c r="U10" s="373"/>
      <c r="V10" s="373"/>
    </row>
    <row r="11" spans="1:22" ht="15" hidden="1" customHeight="1">
      <c r="A11" s="1954"/>
      <c r="B11" s="372"/>
      <c r="C11" s="372"/>
      <c r="D11" s="663"/>
      <c r="E11" s="381"/>
      <c r="F11" s="381"/>
      <c r="G11" s="381"/>
      <c r="H11" s="381"/>
      <c r="I11" s="382"/>
      <c r="J11" s="383"/>
      <c r="K11" s="540"/>
      <c r="L11" s="2097"/>
      <c r="M11" s="379"/>
      <c r="N11" s="379"/>
      <c r="O11" s="379"/>
      <c r="P11" s="384"/>
      <c r="Q11" s="384"/>
      <c r="R11" s="385"/>
      <c r="S11" s="379"/>
      <c r="T11" s="379"/>
      <c r="U11" s="379"/>
      <c r="V11" s="379"/>
    </row>
    <row r="12" spans="1:22" s="1673" customFormat="1" ht="14.25" customHeight="1">
      <c r="A12" s="1954"/>
      <c r="B12" s="372"/>
      <c r="C12" s="372"/>
      <c r="D12" s="664"/>
      <c r="E12" s="626">
        <v>1</v>
      </c>
      <c r="F12" s="662">
        <v>23</v>
      </c>
      <c r="G12" s="661"/>
      <c r="H12" s="602"/>
      <c r="I12" s="600"/>
      <c r="J12" s="388" t="s">
        <v>16</v>
      </c>
      <c r="K12" s="933" t="s">
        <v>1</v>
      </c>
      <c r="L12" s="2097"/>
      <c r="M12" s="379"/>
      <c r="N12" s="379"/>
      <c r="O12" s="379"/>
      <c r="P12" s="384" t="s">
        <v>318</v>
      </c>
      <c r="Q12" s="384" t="s">
        <v>319</v>
      </c>
      <c r="R12" s="385" t="s">
        <v>320</v>
      </c>
      <c r="S12" s="379" t="s">
        <v>321</v>
      </c>
      <c r="T12" s="379"/>
      <c r="U12" s="379"/>
      <c r="V12" s="379"/>
    </row>
    <row r="13" spans="1:22" ht="15" customHeight="1">
      <c r="A13" s="1954"/>
      <c r="B13" s="373"/>
      <c r="D13" s="374"/>
      <c r="E13" s="290"/>
      <c r="F13" s="393"/>
      <c r="G13" s="296" t="s">
        <v>36</v>
      </c>
      <c r="H13" s="289"/>
      <c r="I13" s="289"/>
      <c r="J13" s="289"/>
      <c r="K13" s="288"/>
      <c r="L13" s="2081"/>
      <c r="M13" s="377"/>
      <c r="N13" s="373"/>
      <c r="O13" s="373"/>
      <c r="P13" s="373"/>
      <c r="Q13" s="373"/>
      <c r="R13" s="373"/>
      <c r="S13" s="373"/>
      <c r="T13" s="373"/>
      <c r="U13" s="373"/>
      <c r="V13" s="373"/>
    </row>
    <row r="14" spans="1:22" ht="11.25" customHeight="1">
      <c r="A14" s="347"/>
      <c r="B14" s="348"/>
      <c r="C14" s="348"/>
      <c r="D14" s="363"/>
      <c r="E14" s="348"/>
      <c r="F14" s="348"/>
      <c r="G14" s="348"/>
      <c r="H14" s="348"/>
      <c r="I14" s="348"/>
      <c r="J14" s="348"/>
      <c r="K14" s="348"/>
      <c r="L14" s="348"/>
      <c r="M14" s="348"/>
      <c r="N14" s="348"/>
      <c r="O14" s="348"/>
      <c r="P14" s="348"/>
      <c r="Q14" s="348"/>
      <c r="R14" s="348"/>
      <c r="S14" s="348"/>
      <c r="T14" s="348"/>
      <c r="U14" s="348"/>
      <c r="V14" s="348"/>
    </row>
    <row r="15" spans="1:22" ht="14.25" customHeight="1">
      <c r="D15" s="335"/>
      <c r="E15" s="219"/>
      <c r="F15" s="219"/>
      <c r="G15" s="50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35"/>
      <c r="I15" s="335"/>
      <c r="J15" s="335"/>
      <c r="K15" s="335"/>
      <c r="L15" s="335"/>
    </row>
    <row r="18" spans="7:7" ht="14.25" customHeight="1">
      <c r="G18" s="373"/>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687" hidden="1"/>
    <col min="2" max="2" width="11" style="1687" hidden="1" customWidth="1"/>
    <col min="3" max="3" width="10.5703125" style="1687" hidden="1"/>
    <col min="4" max="4" width="11.85546875" style="1687" hidden="1" customWidth="1"/>
    <col min="5" max="5" width="10" style="1687" hidden="1" customWidth="1"/>
    <col min="6" max="6" width="8.7109375" style="1687" hidden="1" customWidth="1"/>
    <col min="7" max="7" width="7.5703125" style="1687" hidden="1" customWidth="1"/>
    <col min="8" max="8" width="11.42578125" style="1687" hidden="1" customWidth="1"/>
    <col min="9" max="9" width="12" style="1687" hidden="1" customWidth="1"/>
    <col min="10" max="10" width="9.85546875" style="1687" hidden="1" customWidth="1"/>
    <col min="11" max="11" width="11.42578125" style="1687" hidden="1" customWidth="1"/>
    <col min="12" max="12" width="19.140625" style="1688" hidden="1" customWidth="1"/>
    <col min="13" max="14" width="12.28515625" style="1689" hidden="1" customWidth="1"/>
    <col min="15" max="15" width="23.42578125" style="1689" hidden="1" customWidth="1"/>
    <col min="16" max="16" width="3.7109375" style="1694" customWidth="1"/>
    <col min="17" max="18" width="3.7109375" style="1695" customWidth="1"/>
    <col min="19" max="19" width="12.7109375" style="1696" customWidth="1"/>
    <col min="20" max="20" width="35.7109375" style="1661" customWidth="1"/>
    <col min="21" max="21" width="0.140625" style="1661" customWidth="1"/>
    <col min="22" max="22" width="24.7109375" style="1661" hidden="1" customWidth="1"/>
    <col min="23" max="23" width="0.140625" style="1661" hidden="1" customWidth="1"/>
    <col min="24" max="25" width="24.7109375" style="1661" hidden="1" customWidth="1"/>
    <col min="26" max="26" width="11.7109375" style="1661" hidden="1" customWidth="1"/>
    <col min="27" max="27" width="3.7109375" style="1661" hidden="1" customWidth="1"/>
    <col min="28" max="28" width="11.7109375" style="1661" hidden="1" customWidth="1"/>
    <col min="29" max="29" width="8.5703125" style="1661" hidden="1" customWidth="1"/>
    <col min="30" max="30" width="24.7109375" style="1661" customWidth="1"/>
    <col min="31" max="31" width="0.140625" style="1661" customWidth="1"/>
    <col min="32" max="33" width="24.7109375" style="1661" customWidth="1"/>
    <col min="34" max="34" width="11.7109375" style="1661" customWidth="1"/>
    <col min="35" max="35" width="3.7109375" style="1661" customWidth="1"/>
    <col min="36" max="36" width="11.7109375" style="1661" customWidth="1"/>
    <col min="37" max="37" width="8.5703125" style="1661" hidden="1" customWidth="1"/>
    <col min="38" max="38" width="4.7109375" style="1661" customWidth="1"/>
    <col min="39" max="39" width="115.7109375" style="1661" customWidth="1"/>
    <col min="40" max="41" width="10.5703125" style="1622"/>
    <col min="42" max="42" width="11.140625" style="1622" customWidth="1"/>
    <col min="43" max="44" width="10.5703125" style="1622"/>
  </cols>
  <sheetData>
    <row r="1" spans="1:44" ht="14.25" hidden="1" customHeight="1">
      <c r="Y1" s="210"/>
      <c r="Z1" s="210"/>
      <c r="AG1" s="210"/>
      <c r="AH1" s="210"/>
    </row>
    <row r="2" spans="1:44" ht="21" hidden="1" customHeight="1">
      <c r="A2" s="1143"/>
      <c r="B2" s="1143"/>
      <c r="C2" s="1143"/>
      <c r="D2" s="1143"/>
      <c r="E2" s="2111">
        <v>1</v>
      </c>
      <c r="F2" s="1143"/>
      <c r="G2" s="1143"/>
      <c r="H2" s="1143"/>
      <c r="I2" s="1143"/>
      <c r="J2" s="1143"/>
      <c r="K2" s="1143"/>
      <c r="L2" s="1144"/>
      <c r="M2" s="1145"/>
      <c r="N2" s="1145"/>
      <c r="O2" s="1145"/>
      <c r="P2" s="242"/>
      <c r="Q2" s="241"/>
      <c r="R2" s="236"/>
      <c r="S2" s="1091" t="e">
        <f>INDEX(PT_DIFFERENTIATION_NUM_NTAR,MATCH(A2,PT_DIFFERENTIATION_NTAR_ID,0))</f>
        <v>#N/A</v>
      </c>
      <c r="T2" s="173" t="s">
        <v>61</v>
      </c>
      <c r="U2" s="175"/>
      <c r="V2" s="2104"/>
      <c r="W2" s="2105"/>
      <c r="X2" s="2105"/>
      <c r="Y2" s="2105"/>
      <c r="Z2" s="2105"/>
      <c r="AA2" s="2105"/>
      <c r="AB2" s="2105"/>
      <c r="AC2" s="2106"/>
      <c r="AD2" s="2104" t="e">
        <f>INDEX(PT_DIFFERENTIATION_NTAR,MATCH(A2,PT_DIFFERENTIATION_NTAR_ID,0))</f>
        <v>#N/A</v>
      </c>
      <c r="AE2" s="2105"/>
      <c r="AF2" s="2105"/>
      <c r="AG2" s="2105"/>
      <c r="AH2" s="2105"/>
      <c r="AI2" s="2105"/>
      <c r="AJ2" s="2105"/>
      <c r="AK2" s="2105"/>
      <c r="AL2" s="2106"/>
      <c r="AM2" s="1044" t="s">
        <v>322</v>
      </c>
      <c r="AO2" s="368"/>
      <c r="AP2" s="368" t="str">
        <f t="shared" ref="AP2:AP15" si="0">IF(T2="","",T2)</f>
        <v>Наименование тарифа</v>
      </c>
      <c r="AQ2" s="368"/>
      <c r="AR2" s="368"/>
    </row>
    <row r="3" spans="1:44" ht="21" hidden="1" customHeight="1">
      <c r="A3" s="1143"/>
      <c r="B3" s="1143"/>
      <c r="C3" s="1143"/>
      <c r="D3" s="1143"/>
      <c r="E3" s="2112"/>
      <c r="F3" s="2111">
        <v>1</v>
      </c>
      <c r="G3" s="1143"/>
      <c r="H3" s="1143"/>
      <c r="I3" s="1143"/>
      <c r="J3" s="1143"/>
      <c r="K3" s="1143"/>
      <c r="L3" s="1144"/>
      <c r="M3" s="1145"/>
      <c r="N3" s="1145"/>
      <c r="O3" s="1145"/>
      <c r="P3" s="1087"/>
      <c r="Q3" s="233"/>
      <c r="R3" s="234"/>
      <c r="S3" s="1091" t="e">
        <f>INDEX(PT_DIFFERENTIATION_NUM_TER,MATCH(B3,PT_DIFFERENTIATION_TER_ID,0))</f>
        <v>#N/A</v>
      </c>
      <c r="T3" s="185" t="s">
        <v>323</v>
      </c>
      <c r="U3" s="175"/>
      <c r="V3" s="2104"/>
      <c r="W3" s="2105"/>
      <c r="X3" s="2105"/>
      <c r="Y3" s="2105"/>
      <c r="Z3" s="2105"/>
      <c r="AA3" s="2105"/>
      <c r="AB3" s="2105"/>
      <c r="AC3" s="2106"/>
      <c r="AD3" s="2104" t="e">
        <f>INDEX(PT_DIFFERENTIATION_TER,MATCH(B3,PT_DIFFERENTIATION_TER_ID,0))</f>
        <v>#N/A</v>
      </c>
      <c r="AE3" s="2105"/>
      <c r="AF3" s="2105"/>
      <c r="AG3" s="2105"/>
      <c r="AH3" s="2105"/>
      <c r="AI3" s="2105"/>
      <c r="AJ3" s="2105"/>
      <c r="AK3" s="2105"/>
      <c r="AL3" s="2106"/>
      <c r="AM3" s="1044" t="s">
        <v>324</v>
      </c>
      <c r="AO3" s="368"/>
      <c r="AP3" s="368" t="str">
        <f t="shared" si="0"/>
        <v>Территория действия тарифа</v>
      </c>
      <c r="AQ3" s="368"/>
      <c r="AR3" s="368"/>
    </row>
    <row r="4" spans="1:44" ht="23.25" hidden="1" customHeight="1">
      <c r="A4" s="1143"/>
      <c r="B4" s="1143"/>
      <c r="C4" s="1143"/>
      <c r="D4" s="1143"/>
      <c r="E4" s="2112"/>
      <c r="F4" s="2112"/>
      <c r="G4" s="2111">
        <v>1</v>
      </c>
      <c r="H4" s="1143"/>
      <c r="I4" s="1143"/>
      <c r="J4" s="1143"/>
      <c r="K4" s="1143"/>
      <c r="L4" s="1144"/>
      <c r="M4" s="1145"/>
      <c r="N4" s="1145"/>
      <c r="O4" s="1145"/>
      <c r="P4" s="235"/>
      <c r="Q4" s="233"/>
      <c r="R4" s="234"/>
      <c r="S4" s="1091" t="e">
        <f>INDEX(PT_DIFFERENTIATION_NUM_CS,MATCH(C4,PT_DIFFERENTIATION_CS_ID,0))</f>
        <v>#N/A</v>
      </c>
      <c r="T4" s="186" t="s">
        <v>325</v>
      </c>
      <c r="U4" s="175"/>
      <c r="V4" s="2104"/>
      <c r="W4" s="2105"/>
      <c r="X4" s="2105"/>
      <c r="Y4" s="2105"/>
      <c r="Z4" s="2105"/>
      <c r="AA4" s="2105"/>
      <c r="AB4" s="2105"/>
      <c r="AC4" s="2106"/>
      <c r="AD4" s="2104" t="e">
        <f>INDEX(PT_DIFFERENTIATION_CS,MATCH(C4,PT_DIFFERENTIATION_CS_ID,0))</f>
        <v>#N/A</v>
      </c>
      <c r="AE4" s="2105"/>
      <c r="AF4" s="2105"/>
      <c r="AG4" s="2105"/>
      <c r="AH4" s="2105"/>
      <c r="AI4" s="2105"/>
      <c r="AJ4" s="2105"/>
      <c r="AK4" s="2105"/>
      <c r="AL4" s="2106"/>
      <c r="AM4" s="1044" t="s">
        <v>326</v>
      </c>
      <c r="AO4" s="368"/>
      <c r="AP4" s="368" t="str">
        <f t="shared" si="0"/>
        <v xml:space="preserve">Наименование системы теплоснабжения </v>
      </c>
      <c r="AQ4" s="368"/>
      <c r="AR4" s="368"/>
    </row>
    <row r="5" spans="1:44" ht="21" hidden="1" customHeight="1">
      <c r="A5" s="1143"/>
      <c r="B5" s="1143"/>
      <c r="C5" s="1143"/>
      <c r="D5" s="1143"/>
      <c r="E5" s="2112"/>
      <c r="F5" s="2112"/>
      <c r="G5" s="2112"/>
      <c r="H5" s="2111">
        <v>1</v>
      </c>
      <c r="I5" s="1143"/>
      <c r="J5" s="1143"/>
      <c r="K5" s="1143"/>
      <c r="L5" s="1144"/>
      <c r="M5" s="1145"/>
      <c r="N5" s="1145"/>
      <c r="O5" s="1145"/>
      <c r="P5" s="235"/>
      <c r="Q5" s="233"/>
      <c r="R5" s="234"/>
      <c r="S5" s="1091" t="e">
        <f>INDEX(PT_DIFFERENTIATION_NUM_IST_TE,MATCH(D5,PT_DIFFERENTIATION_IST_TE_ID,0))</f>
        <v>#N/A</v>
      </c>
      <c r="T5" s="187" t="s">
        <v>327</v>
      </c>
      <c r="U5" s="175"/>
      <c r="V5" s="2104"/>
      <c r="W5" s="2105"/>
      <c r="X5" s="2105"/>
      <c r="Y5" s="2105"/>
      <c r="Z5" s="2105"/>
      <c r="AA5" s="2105"/>
      <c r="AB5" s="2105"/>
      <c r="AC5" s="2106"/>
      <c r="AD5" s="2104" t="e">
        <f>INDEX(PT_DIFFERENTIATION_IST_TE,MATCH(D5,PT_DIFFERENTIATION_IST_TE_ID,0))</f>
        <v>#N/A</v>
      </c>
      <c r="AE5" s="2105"/>
      <c r="AF5" s="2105"/>
      <c r="AG5" s="2105"/>
      <c r="AH5" s="2105"/>
      <c r="AI5" s="2105"/>
      <c r="AJ5" s="2105"/>
      <c r="AK5" s="2105"/>
      <c r="AL5" s="2106"/>
      <c r="AM5" s="1044" t="s">
        <v>328</v>
      </c>
      <c r="AO5" s="368"/>
      <c r="AP5" s="368" t="str">
        <f t="shared" si="0"/>
        <v xml:space="preserve">Источник тепловой энергии  </v>
      </c>
      <c r="AQ5" s="368"/>
      <c r="AR5" s="368"/>
    </row>
    <row r="6" spans="1:44" ht="47.25" hidden="1" customHeight="1">
      <c r="A6" s="1143"/>
      <c r="B6" s="1143"/>
      <c r="C6" s="1143"/>
      <c r="D6" s="1143"/>
      <c r="E6" s="2112"/>
      <c r="F6" s="2112"/>
      <c r="G6" s="2112"/>
      <c r="H6" s="2112"/>
      <c r="I6" s="2113" t="e">
        <f>S5&amp;".1"</f>
        <v>#N/A</v>
      </c>
      <c r="J6" s="1143"/>
      <c r="K6" s="1143"/>
      <c r="L6" s="1144" t="s">
        <v>329</v>
      </c>
      <c r="M6" s="395"/>
      <c r="P6" s="2115">
        <v>1</v>
      </c>
      <c r="Q6" s="1088"/>
      <c r="R6" s="237"/>
      <c r="S6" s="1091" t="e">
        <f>$I6</f>
        <v>#N/A</v>
      </c>
      <c r="T6" s="161" t="s">
        <v>330</v>
      </c>
      <c r="U6" s="175"/>
      <c r="V6" s="2098"/>
      <c r="W6" s="2099"/>
      <c r="X6" s="2099"/>
      <c r="Y6" s="2099"/>
      <c r="Z6" s="2099"/>
      <c r="AA6" s="2099"/>
      <c r="AB6" s="2099"/>
      <c r="AC6" s="2100"/>
      <c r="AD6" s="2098"/>
      <c r="AE6" s="2099"/>
      <c r="AF6" s="2099"/>
      <c r="AG6" s="2099"/>
      <c r="AH6" s="2099"/>
      <c r="AI6" s="2099"/>
      <c r="AJ6" s="2099"/>
      <c r="AK6" s="2099"/>
      <c r="AL6" s="2100"/>
      <c r="AM6" s="1044" t="s">
        <v>331</v>
      </c>
      <c r="AO6" s="368"/>
      <c r="AP6" s="368" t="str">
        <f t="shared" si="0"/>
        <v>Схема подключения теплопотребляющей установки к коллектору источника тепловой энергии</v>
      </c>
      <c r="AQ6" s="368"/>
      <c r="AR6" s="368"/>
    </row>
    <row r="7" spans="1:44" ht="21" hidden="1" customHeight="1">
      <c r="A7" s="1143"/>
      <c r="B7" s="1143"/>
      <c r="C7" s="1143"/>
      <c r="D7" s="1143"/>
      <c r="E7" s="2112"/>
      <c r="F7" s="2112"/>
      <c r="G7" s="2112"/>
      <c r="H7" s="2112"/>
      <c r="I7" s="2114"/>
      <c r="J7" s="2113" t="e">
        <f>I6&amp;".1"</f>
        <v>#N/A</v>
      </c>
      <c r="K7" s="1143"/>
      <c r="L7" s="1144" t="s">
        <v>332</v>
      </c>
      <c r="M7" s="395"/>
      <c r="N7" s="1146"/>
      <c r="P7" s="2115"/>
      <c r="Q7" s="2115">
        <v>1</v>
      </c>
      <c r="R7" s="238"/>
      <c r="S7" s="1091" t="e">
        <f>$J7</f>
        <v>#N/A</v>
      </c>
      <c r="T7" s="162" t="s">
        <v>333</v>
      </c>
      <c r="U7" s="175"/>
      <c r="V7" s="2098"/>
      <c r="W7" s="2099"/>
      <c r="X7" s="2099"/>
      <c r="Y7" s="2099"/>
      <c r="Z7" s="2099"/>
      <c r="AA7" s="2099"/>
      <c r="AB7" s="2099"/>
      <c r="AC7" s="2100"/>
      <c r="AD7" s="2098"/>
      <c r="AE7" s="2099"/>
      <c r="AF7" s="2099"/>
      <c r="AG7" s="2099"/>
      <c r="AH7" s="2099"/>
      <c r="AI7" s="2099"/>
      <c r="AJ7" s="2099"/>
      <c r="AK7" s="2099"/>
      <c r="AL7" s="2100"/>
      <c r="AM7" s="1044" t="s">
        <v>334</v>
      </c>
      <c r="AO7" s="368"/>
      <c r="AP7" s="368" t="str">
        <f t="shared" si="0"/>
        <v>Группа потребителей</v>
      </c>
      <c r="AQ7" s="368"/>
      <c r="AR7" s="368"/>
    </row>
    <row r="8" spans="1:44" ht="21" hidden="1" customHeight="1">
      <c r="A8" s="1143"/>
      <c r="B8" s="1143"/>
      <c r="C8" s="1143"/>
      <c r="D8" s="1143"/>
      <c r="E8" s="2112"/>
      <c r="F8" s="2112"/>
      <c r="G8" s="2112"/>
      <c r="H8" s="2112"/>
      <c r="I8" s="2114"/>
      <c r="J8" s="2114"/>
      <c r="K8" s="2113" t="e">
        <f>J7&amp;".1"</f>
        <v>#N/A</v>
      </c>
      <c r="L8" s="1144" t="s">
        <v>335</v>
      </c>
      <c r="M8" s="395"/>
      <c r="N8" s="1146"/>
      <c r="O8" s="1146"/>
      <c r="P8" s="2115"/>
      <c r="Q8" s="2115"/>
      <c r="R8" s="238">
        <v>1</v>
      </c>
      <c r="S8" s="1091" t="e">
        <f>$K8</f>
        <v>#N/A</v>
      </c>
      <c r="T8" s="1128"/>
      <c r="U8" s="175"/>
      <c r="V8" s="576"/>
      <c r="W8" s="207"/>
      <c r="X8" s="576"/>
      <c r="Y8" s="1043"/>
      <c r="Z8" s="2116"/>
      <c r="AA8" s="2109" t="s">
        <v>16</v>
      </c>
      <c r="AB8" s="2116"/>
      <c r="AC8" s="2109" t="s">
        <v>16</v>
      </c>
      <c r="AD8" s="576"/>
      <c r="AE8" s="207"/>
      <c r="AF8" s="576"/>
      <c r="AG8" s="1043"/>
      <c r="AH8" s="2116"/>
      <c r="AI8" s="2109" t="s">
        <v>16</v>
      </c>
      <c r="AJ8" s="2116"/>
      <c r="AK8" s="2109" t="s">
        <v>16</v>
      </c>
      <c r="AL8" s="207"/>
      <c r="AM8" s="2134" t="s">
        <v>336</v>
      </c>
      <c r="AN8" s="379" t="e">
        <f ca="1">STRCHECKDATE(V9:AL9)</f>
        <v>#NAME?</v>
      </c>
      <c r="AO8" s="368"/>
      <c r="AP8" s="368" t="str">
        <f t="shared" si="0"/>
        <v/>
      </c>
      <c r="AQ8" s="368"/>
      <c r="AR8" s="368"/>
    </row>
    <row r="9" spans="1:44" ht="0.75" hidden="1" customHeight="1">
      <c r="A9" s="1143"/>
      <c r="B9" s="1143"/>
      <c r="C9" s="1143"/>
      <c r="D9" s="1143"/>
      <c r="E9" s="2112"/>
      <c r="F9" s="2112"/>
      <c r="G9" s="2112"/>
      <c r="H9" s="2112"/>
      <c r="I9" s="2114"/>
      <c r="J9" s="2114"/>
      <c r="K9" s="2113"/>
      <c r="L9" s="1144"/>
      <c r="M9" s="395"/>
      <c r="N9" s="1146"/>
      <c r="O9" s="1146"/>
      <c r="P9" s="2115"/>
      <c r="Q9" s="2115"/>
      <c r="R9" s="238"/>
      <c r="S9" s="1089"/>
      <c r="T9" s="175"/>
      <c r="U9" s="175"/>
      <c r="V9" s="207"/>
      <c r="W9" s="207"/>
      <c r="X9" s="207"/>
      <c r="Y9" s="211" t="str">
        <f>Z8&amp;"-"&amp;AB8</f>
        <v>-</v>
      </c>
      <c r="Z9" s="2117"/>
      <c r="AA9" s="2109"/>
      <c r="AB9" s="2117"/>
      <c r="AC9" s="2109"/>
      <c r="AD9" s="207"/>
      <c r="AE9" s="207"/>
      <c r="AF9" s="207"/>
      <c r="AG9" s="211" t="str">
        <f>AH8&amp;"-"&amp;AJ8</f>
        <v>-</v>
      </c>
      <c r="AH9" s="2117"/>
      <c r="AI9" s="2109"/>
      <c r="AJ9" s="2117"/>
      <c r="AK9" s="2109"/>
      <c r="AL9" s="207"/>
      <c r="AM9" s="2135"/>
      <c r="AO9" s="368"/>
      <c r="AP9" s="368" t="str">
        <f t="shared" si="0"/>
        <v/>
      </c>
      <c r="AQ9" s="368"/>
      <c r="AR9" s="368"/>
    </row>
    <row r="10" spans="1:44" ht="15" hidden="1" customHeight="1">
      <c r="A10" s="1143"/>
      <c r="B10" s="1143"/>
      <c r="C10" s="1143"/>
      <c r="D10" s="1143"/>
      <c r="E10" s="2112"/>
      <c r="F10" s="2112"/>
      <c r="G10" s="2112"/>
      <c r="H10" s="2112"/>
      <c r="I10" s="2114"/>
      <c r="J10" s="2113"/>
      <c r="K10" s="1143"/>
      <c r="L10" s="1144"/>
      <c r="M10" s="395"/>
      <c r="N10" s="1146"/>
      <c r="P10" s="2115"/>
      <c r="Q10" s="2115"/>
      <c r="R10" s="237"/>
      <c r="S10" s="1062"/>
      <c r="T10" s="164" t="s">
        <v>337</v>
      </c>
      <c r="U10" s="251"/>
      <c r="V10" s="251"/>
      <c r="W10" s="251"/>
      <c r="X10" s="251"/>
      <c r="Y10" s="251"/>
      <c r="Z10" s="251"/>
      <c r="AA10" s="251"/>
      <c r="AB10" s="251"/>
      <c r="AC10" s="251"/>
      <c r="AD10" s="251"/>
      <c r="AE10" s="251"/>
      <c r="AF10" s="251"/>
      <c r="AG10" s="251"/>
      <c r="AH10" s="251"/>
      <c r="AI10" s="251"/>
      <c r="AJ10" s="251"/>
      <c r="AK10" s="251"/>
      <c r="AL10" s="206"/>
      <c r="AM10" s="2136"/>
      <c r="AO10" s="368"/>
      <c r="AP10" s="368" t="str">
        <f t="shared" si="0"/>
        <v>Добавить вид теплоносителя (параметры теплоносителя)</v>
      </c>
      <c r="AQ10" s="368"/>
      <c r="AR10" s="368"/>
    </row>
    <row r="11" spans="1:44" ht="15" hidden="1" customHeight="1">
      <c r="A11" s="1143"/>
      <c r="B11" s="1143"/>
      <c r="C11" s="1143"/>
      <c r="D11" s="1143"/>
      <c r="E11" s="2112"/>
      <c r="F11" s="2112"/>
      <c r="G11" s="2112"/>
      <c r="H11" s="2112"/>
      <c r="I11" s="2113"/>
      <c r="J11" s="1143"/>
      <c r="K11" s="1143"/>
      <c r="L11" s="1144"/>
      <c r="M11" s="395"/>
      <c r="P11" s="2115"/>
      <c r="Q11" s="1088"/>
      <c r="R11" s="237"/>
      <c r="S11" s="1062"/>
      <c r="T11" s="163" t="s">
        <v>338</v>
      </c>
      <c r="U11" s="251"/>
      <c r="V11" s="251"/>
      <c r="W11" s="251"/>
      <c r="X11" s="251"/>
      <c r="Y11" s="251"/>
      <c r="Z11" s="251"/>
      <c r="AA11" s="251"/>
      <c r="AB11" s="251"/>
      <c r="AC11" s="250"/>
      <c r="AD11" s="251"/>
      <c r="AE11" s="251"/>
      <c r="AF11" s="251"/>
      <c r="AG11" s="251"/>
      <c r="AH11" s="251"/>
      <c r="AI11" s="251"/>
      <c r="AJ11" s="251"/>
      <c r="AK11" s="250"/>
      <c r="AL11" s="251"/>
      <c r="AM11" s="178"/>
      <c r="AO11" s="368"/>
      <c r="AP11" s="368" t="str">
        <f t="shared" si="0"/>
        <v>Добавить группу потребителей</v>
      </c>
      <c r="AQ11" s="368"/>
      <c r="AR11" s="368"/>
    </row>
    <row r="12" spans="1:44" ht="14.25" hidden="1" customHeight="1">
      <c r="A12" s="1143"/>
      <c r="B12" s="1143"/>
      <c r="C12" s="1143"/>
      <c r="D12" s="1143"/>
      <c r="E12" s="2112"/>
      <c r="F12" s="2112"/>
      <c r="G12" s="2112"/>
      <c r="H12" s="2111"/>
      <c r="I12" s="1143"/>
      <c r="J12" s="1143"/>
      <c r="K12" s="1143"/>
      <c r="L12" s="1144"/>
      <c r="M12" s="1145"/>
      <c r="N12" s="1145"/>
      <c r="O12" s="395"/>
      <c r="P12" s="241"/>
      <c r="Q12" s="260"/>
      <c r="R12" s="236"/>
      <c r="S12" s="1062"/>
      <c r="T12" s="248" t="s">
        <v>339</v>
      </c>
      <c r="U12" s="251"/>
      <c r="V12" s="251"/>
      <c r="W12" s="251"/>
      <c r="X12" s="251"/>
      <c r="Y12" s="251"/>
      <c r="Z12" s="251"/>
      <c r="AA12" s="251"/>
      <c r="AB12" s="251"/>
      <c r="AC12" s="250"/>
      <c r="AD12" s="251"/>
      <c r="AE12" s="251"/>
      <c r="AF12" s="251"/>
      <c r="AG12" s="251"/>
      <c r="AH12" s="251"/>
      <c r="AI12" s="251"/>
      <c r="AJ12" s="251"/>
      <c r="AK12" s="250"/>
      <c r="AL12" s="251"/>
      <c r="AM12" s="178"/>
      <c r="AO12" s="368"/>
      <c r="AP12" s="368" t="str">
        <f t="shared" si="0"/>
        <v>Добавить схему подключения</v>
      </c>
      <c r="AQ12" s="368"/>
      <c r="AR12" s="368"/>
    </row>
    <row r="13" spans="1:44" s="1686" customFormat="1" ht="0.75" hidden="1" customHeight="1">
      <c r="A13" s="1096"/>
      <c r="B13" s="1096"/>
      <c r="C13" s="1096"/>
      <c r="D13" s="1096"/>
      <c r="E13" s="2112"/>
      <c r="F13" s="2112"/>
      <c r="G13" s="2111"/>
      <c r="H13" s="1096"/>
      <c r="I13" s="1096"/>
      <c r="J13" s="1096"/>
      <c r="K13" s="1096"/>
      <c r="L13" s="1120"/>
      <c r="M13" s="1097"/>
      <c r="N13" s="1097"/>
      <c r="P13" s="1098"/>
      <c r="Q13" s="1099"/>
      <c r="R13" s="1098"/>
      <c r="S13" s="1100"/>
      <c r="T13" s="1101" t="s">
        <v>340</v>
      </c>
      <c r="U13" s="1102"/>
      <c r="V13" s="1102"/>
      <c r="W13" s="1102"/>
      <c r="X13" s="1102"/>
      <c r="Y13" s="1102"/>
      <c r="Z13" s="1102"/>
      <c r="AA13" s="1102"/>
      <c r="AB13" s="1102"/>
      <c r="AC13" s="1102"/>
      <c r="AD13" s="1102"/>
      <c r="AE13" s="1102"/>
      <c r="AF13" s="1102"/>
      <c r="AG13" s="1102"/>
      <c r="AH13" s="1102"/>
      <c r="AI13" s="1102"/>
      <c r="AJ13" s="1102"/>
      <c r="AK13" s="1102"/>
      <c r="AL13" s="1102"/>
      <c r="AM13" s="1102"/>
      <c r="AO13" s="598"/>
      <c r="AP13" s="598" t="str">
        <f t="shared" si="0"/>
        <v>Добавить источник для дифференциации</v>
      </c>
      <c r="AQ13" s="598"/>
      <c r="AR13" s="598"/>
    </row>
    <row r="14" spans="1:44" s="1686" customFormat="1" ht="0.75" hidden="1" customHeight="1">
      <c r="A14" s="1096"/>
      <c r="B14" s="1096"/>
      <c r="C14" s="1096"/>
      <c r="D14" s="1096"/>
      <c r="E14" s="2112"/>
      <c r="F14" s="2111"/>
      <c r="G14" s="1096"/>
      <c r="H14" s="1096"/>
      <c r="I14" s="1096"/>
      <c r="J14" s="1096"/>
      <c r="K14" s="1096"/>
      <c r="L14" s="1120"/>
      <c r="M14" s="1103"/>
      <c r="N14" s="1103"/>
      <c r="P14" s="1098"/>
      <c r="Q14" s="1099"/>
      <c r="R14" s="1098"/>
      <c r="S14" s="1104"/>
      <c r="T14" s="1105" t="s">
        <v>341</v>
      </c>
      <c r="U14" s="1106"/>
      <c r="V14" s="1106"/>
      <c r="W14" s="1106"/>
      <c r="X14" s="1106"/>
      <c r="Y14" s="1106"/>
      <c r="Z14" s="1106"/>
      <c r="AA14" s="1106"/>
      <c r="AB14" s="1106"/>
      <c r="AC14" s="1106"/>
      <c r="AD14" s="1106"/>
      <c r="AE14" s="1106"/>
      <c r="AF14" s="1106"/>
      <c r="AG14" s="1106"/>
      <c r="AH14" s="1106"/>
      <c r="AI14" s="1106"/>
      <c r="AJ14" s="1106"/>
      <c r="AK14" s="1106"/>
      <c r="AL14" s="1106"/>
      <c r="AM14" s="1106"/>
      <c r="AO14" s="598"/>
      <c r="AP14" s="598" t="str">
        <f t="shared" si="0"/>
        <v>Добавить централизованную систему для дифференциации</v>
      </c>
      <c r="AQ14" s="598"/>
      <c r="AR14" s="598"/>
    </row>
    <row r="15" spans="1:44" s="1686" customFormat="1" ht="0.75" hidden="1" customHeight="1">
      <c r="A15" s="1096"/>
      <c r="B15" s="1096"/>
      <c r="C15" s="1096"/>
      <c r="D15" s="1096"/>
      <c r="E15" s="2111"/>
      <c r="F15" s="1096"/>
      <c r="G15" s="1096"/>
      <c r="H15" s="1096"/>
      <c r="I15" s="1096"/>
      <c r="J15" s="1096"/>
      <c r="K15" s="1096"/>
      <c r="L15" s="1120"/>
      <c r="M15" s="1103"/>
      <c r="N15" s="1103"/>
      <c r="P15" s="1098"/>
      <c r="Q15" s="1099"/>
      <c r="R15" s="1098"/>
      <c r="S15" s="1104"/>
      <c r="T15" s="1107" t="s">
        <v>342</v>
      </c>
      <c r="U15" s="1106"/>
      <c r="V15" s="1106"/>
      <c r="W15" s="1106"/>
      <c r="X15" s="1106"/>
      <c r="Y15" s="1106"/>
      <c r="Z15" s="1106"/>
      <c r="AA15" s="1106"/>
      <c r="AB15" s="1106"/>
      <c r="AC15" s="1106"/>
      <c r="AD15" s="1106"/>
      <c r="AE15" s="1106"/>
      <c r="AF15" s="1106"/>
      <c r="AG15" s="1106"/>
      <c r="AH15" s="1106"/>
      <c r="AI15" s="1106"/>
      <c r="AJ15" s="1106"/>
      <c r="AK15" s="1106"/>
      <c r="AL15" s="1106"/>
      <c r="AM15" s="1106"/>
      <c r="AO15" s="598"/>
      <c r="AP15" s="598" t="str">
        <f t="shared" si="0"/>
        <v>Добавить территорию для дифференциации</v>
      </c>
      <c r="AQ15" s="598"/>
      <c r="AR15" s="598"/>
    </row>
    <row r="16" spans="1:44" ht="14.25" hidden="1" customHeight="1">
      <c r="AC16" s="210"/>
      <c r="AK16" s="210"/>
    </row>
    <row r="17" spans="1:44" ht="14.25" hidden="1" customHeight="1">
      <c r="P17" s="1093"/>
      <c r="AD17" s="1140"/>
      <c r="AE17" s="1140"/>
      <c r="AF17" s="1140"/>
      <c r="AG17" s="1141"/>
      <c r="AH17" s="2108"/>
      <c r="AI17" s="2107" t="s">
        <v>16</v>
      </c>
      <c r="AJ17" s="2108"/>
      <c r="AK17" s="2107" t="s">
        <v>16</v>
      </c>
    </row>
    <row r="18" spans="1:44" ht="14.25" hidden="1" customHeight="1">
      <c r="P18" s="1093"/>
      <c r="AD18" s="1140"/>
      <c r="AE18" s="1140"/>
      <c r="AF18" s="1140"/>
      <c r="AG18" s="211" t="str">
        <f>AH17&amp;"-"&amp;AJ17</f>
        <v>-</v>
      </c>
      <c r="AH18" s="2107"/>
      <c r="AI18" s="2107"/>
      <c r="AJ18" s="2107"/>
      <c r="AK18" s="2107"/>
    </row>
    <row r="19" spans="1:44" ht="14.25" hidden="1" customHeight="1">
      <c r="P19" s="1093"/>
      <c r="AK19" s="210"/>
    </row>
    <row r="20" spans="1:44" s="1687" customFormat="1" ht="22.5" hidden="1" customHeight="1">
      <c r="L20" s="1110"/>
      <c r="M20" s="1142"/>
      <c r="N20" s="1142"/>
      <c r="O20" s="1147" t="s">
        <v>343</v>
      </c>
      <c r="P20" s="1142"/>
      <c r="Q20" s="1151"/>
      <c r="R20" s="1151"/>
      <c r="S20" s="556"/>
      <c r="Z20" s="1147"/>
      <c r="AB20" s="1147"/>
      <c r="AC20" s="1146"/>
      <c r="AH20" s="1147"/>
      <c r="AJ20" s="1147"/>
      <c r="AK20" s="1146"/>
      <c r="AN20" s="379"/>
      <c r="AO20" s="379"/>
      <c r="AP20" s="379"/>
      <c r="AQ20" s="379"/>
      <c r="AR20" s="379"/>
    </row>
    <row r="21" spans="1:44" s="1687" customFormat="1" ht="14.25" hidden="1" customHeight="1">
      <c r="L21" s="1110"/>
      <c r="M21" s="1142"/>
      <c r="N21" s="1142"/>
      <c r="O21" s="1142"/>
      <c r="P21" s="1142"/>
      <c r="Q21" s="1151"/>
      <c r="R21" s="1151"/>
      <c r="S21" s="556"/>
      <c r="AC21" s="1146"/>
      <c r="AK21" s="1146"/>
      <c r="AN21" s="379"/>
      <c r="AO21" s="379"/>
      <c r="AP21" s="379"/>
      <c r="AQ21" s="379"/>
      <c r="AR21" s="379"/>
    </row>
    <row r="22" spans="1:44" s="1687" customFormat="1" ht="14.25" hidden="1" customHeight="1">
      <c r="L22" s="1110"/>
      <c r="M22" s="1142"/>
      <c r="N22" s="1142"/>
      <c r="O22" s="1144" t="s">
        <v>344</v>
      </c>
      <c r="P22" s="1142"/>
      <c r="Q22" s="1151"/>
      <c r="R22" s="1151"/>
      <c r="S22" s="556"/>
      <c r="T22" s="929" t="s">
        <v>345</v>
      </c>
      <c r="AA22" s="86" t="s">
        <v>346</v>
      </c>
      <c r="AC22" s="86" t="s">
        <v>347</v>
      </c>
      <c r="AD22" s="929" t="s">
        <v>345</v>
      </c>
      <c r="AI22" s="86" t="s">
        <v>348</v>
      </c>
      <c r="AK22" s="86" t="s">
        <v>347</v>
      </c>
      <c r="AN22" s="379"/>
      <c r="AO22" s="379"/>
      <c r="AP22" s="379"/>
      <c r="AQ22" s="379"/>
      <c r="AR22" s="379"/>
    </row>
    <row r="23" spans="1:44" ht="14.25" hidden="1" customHeight="1">
      <c r="O23" s="1144"/>
      <c r="P23" s="1093"/>
    </row>
    <row r="24" spans="1:44" ht="14.25" hidden="1" customHeight="1">
      <c r="O24" s="1144"/>
      <c r="P24" s="1093"/>
    </row>
    <row r="25" spans="1:44" ht="14.25" customHeight="1">
      <c r="Q25" s="261"/>
      <c r="R25" s="261"/>
      <c r="S25" s="1059"/>
      <c r="T25" s="246"/>
      <c r="U25" s="246"/>
      <c r="V25" s="377"/>
      <c r="W25" s="377"/>
      <c r="X25" s="377"/>
      <c r="Y25" s="377"/>
      <c r="Z25" s="377"/>
      <c r="AA25" s="377"/>
      <c r="AB25" s="377"/>
      <c r="AC25" s="377"/>
      <c r="AD25" s="377"/>
      <c r="AE25" s="377"/>
      <c r="AF25" s="377"/>
      <c r="AG25" s="377"/>
      <c r="AH25" s="377"/>
      <c r="AI25" s="377"/>
      <c r="AJ25" s="377"/>
      <c r="AK25" s="377"/>
    </row>
    <row r="26" spans="1:44" ht="14.25" customHeight="1">
      <c r="Q26" s="261"/>
      <c r="R26" s="261"/>
      <c r="S26" s="208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88"/>
      <c r="U26" s="2088"/>
      <c r="V26" s="2088"/>
      <c r="W26" s="2088"/>
      <c r="X26" s="2088"/>
      <c r="Y26" s="2088"/>
      <c r="Z26" s="2088"/>
      <c r="AA26" s="2088"/>
      <c r="AB26" s="2088"/>
      <c r="AC26" s="2088"/>
      <c r="AD26" s="2088"/>
      <c r="AE26" s="2088"/>
      <c r="AF26" s="2088"/>
      <c r="AG26" s="2088"/>
      <c r="AH26" s="2088"/>
      <c r="AI26" s="2088"/>
      <c r="AJ26" s="2088"/>
      <c r="AK26" s="1019"/>
    </row>
    <row r="27" spans="1:44" ht="14.25" customHeight="1">
      <c r="Q27" s="261"/>
      <c r="R27" s="261"/>
      <c r="S27" s="2059" t="e">
        <f>IF(org=0,"Не определено",org)</f>
        <v>#REF!</v>
      </c>
      <c r="T27" s="2059"/>
      <c r="U27" s="2059"/>
      <c r="V27" s="2059"/>
      <c r="W27" s="2059"/>
      <c r="X27" s="2059"/>
      <c r="Y27" s="2059"/>
      <c r="Z27" s="2059"/>
      <c r="AA27" s="2059"/>
      <c r="AB27" s="2059"/>
      <c r="AC27" s="2059"/>
      <c r="AD27" s="2059"/>
      <c r="AE27" s="2059"/>
      <c r="AF27" s="2059"/>
      <c r="AG27" s="2059"/>
      <c r="AH27" s="2059"/>
      <c r="AI27" s="2059"/>
      <c r="AJ27" s="2059"/>
      <c r="AK27" s="1019"/>
    </row>
    <row r="28" spans="1:44" ht="14.25" hidden="1" customHeight="1">
      <c r="Q28" s="261"/>
      <c r="R28" s="261"/>
      <c r="S28" s="1059"/>
      <c r="T28" s="246"/>
      <c r="U28" s="246"/>
      <c r="V28" s="203"/>
      <c r="W28" s="203"/>
      <c r="X28" s="203"/>
      <c r="Y28" s="203"/>
      <c r="Z28" s="203"/>
      <c r="AA28" s="203"/>
      <c r="AB28" s="203"/>
      <c r="AC28" s="203"/>
      <c r="AD28" s="203"/>
      <c r="AE28" s="203"/>
      <c r="AF28" s="203"/>
      <c r="AG28" s="203"/>
      <c r="AH28" s="203"/>
      <c r="AI28" s="203"/>
      <c r="AJ28" s="203"/>
      <c r="AK28" s="203"/>
      <c r="AL28" s="377"/>
    </row>
    <row r="29" spans="1:44" s="1692" customFormat="1" ht="25.5" hidden="1" customHeight="1">
      <c r="A29" s="1148"/>
      <c r="B29" s="1148"/>
      <c r="C29" s="1148"/>
      <c r="D29" s="1148"/>
      <c r="E29" s="1148"/>
      <c r="F29" s="1148"/>
      <c r="G29" s="1148"/>
      <c r="H29" s="1148"/>
      <c r="I29" s="1148"/>
      <c r="J29" s="1148"/>
      <c r="K29" s="1148"/>
      <c r="L29" s="1149"/>
      <c r="M29" s="1148"/>
      <c r="N29" s="1148"/>
      <c r="O29" s="1148"/>
      <c r="S29" s="2101" t="s">
        <v>6</v>
      </c>
      <c r="T29" s="2101"/>
      <c r="U29" s="1152"/>
      <c r="V29" s="2103" t="e">
        <f>IF(TITLE_NAME_OR_PR_CHANGE="",IF(TITLE_NAME_OR_PR="","",TITLE_NAME_OR_PR),TITLE_NAME_OR_PR_CHANGE)</f>
        <v>#REF!</v>
      </c>
      <c r="W29" s="2103"/>
      <c r="X29" s="2103"/>
      <c r="Y29" s="2103"/>
      <c r="Z29" s="2103"/>
      <c r="AA29" s="2103"/>
      <c r="AB29" s="2103"/>
      <c r="AC29" s="209"/>
      <c r="AD29" s="2103" t="e">
        <f>IF(TITLE_NAME_OR_PR_CHANGE="",IF(TITLE_NAME_OR_PR="","",TITLE_NAME_OR_PR),TITLE_NAME_OR_PR_CHANGE)</f>
        <v>#REF!</v>
      </c>
      <c r="AE29" s="2103"/>
      <c r="AF29" s="2103"/>
      <c r="AG29" s="2103"/>
      <c r="AH29" s="2103"/>
      <c r="AI29" s="2103"/>
      <c r="AJ29" s="2103"/>
      <c r="AK29" s="209"/>
      <c r="AL29" s="209"/>
      <c r="AM29" s="157"/>
      <c r="AN29" s="252"/>
      <c r="AO29" s="252"/>
      <c r="AP29" s="252"/>
      <c r="AQ29" s="252"/>
      <c r="AR29" s="252"/>
    </row>
    <row r="30" spans="1:44" s="1692" customFormat="1" ht="18.75" hidden="1" customHeight="1">
      <c r="A30" s="1148"/>
      <c r="B30" s="1148"/>
      <c r="C30" s="1148"/>
      <c r="D30" s="1148"/>
      <c r="E30" s="1148"/>
      <c r="F30" s="1148"/>
      <c r="G30" s="1148"/>
      <c r="H30" s="1148"/>
      <c r="I30" s="1148"/>
      <c r="J30" s="1148"/>
      <c r="K30" s="1148"/>
      <c r="L30" s="1149"/>
      <c r="M30" s="1148"/>
      <c r="N30" s="1148"/>
      <c r="O30" s="1148"/>
      <c r="S30" s="2101" t="s">
        <v>349</v>
      </c>
      <c r="T30" s="2101"/>
      <c r="U30" s="1152"/>
      <c r="V30" s="2102" t="e">
        <f>IF(TITLE_DATE_PR_CHANGE="",IF(TITLE_DATE_PR="","",TITLE_DATE_PR),TITLE_DATE_PR_CHANGE)</f>
        <v>#REF!</v>
      </c>
      <c r="W30" s="2102"/>
      <c r="X30" s="2102"/>
      <c r="Y30" s="2102"/>
      <c r="Z30" s="2102"/>
      <c r="AA30" s="2102"/>
      <c r="AB30" s="2102"/>
      <c r="AC30" s="209"/>
      <c r="AD30" s="2102" t="e">
        <f>IF(TITLE_DATE_PR_CHANGE="",IF(TITLE_DATE_PR="","",TITLE_DATE_PR),TITLE_DATE_PR_CHANGE)</f>
        <v>#REF!</v>
      </c>
      <c r="AE30" s="2102"/>
      <c r="AF30" s="2102"/>
      <c r="AG30" s="2102"/>
      <c r="AH30" s="2102"/>
      <c r="AI30" s="2102"/>
      <c r="AJ30" s="2102"/>
      <c r="AK30" s="209"/>
      <c r="AL30" s="209"/>
      <c r="AM30" s="157"/>
      <c r="AN30" s="252"/>
      <c r="AO30" s="252"/>
      <c r="AP30" s="252"/>
      <c r="AQ30" s="252"/>
      <c r="AR30" s="252"/>
    </row>
    <row r="31" spans="1:44" s="1692" customFormat="1" ht="18.75" hidden="1" customHeight="1">
      <c r="A31" s="1148"/>
      <c r="B31" s="1148"/>
      <c r="C31" s="1148"/>
      <c r="D31" s="1148"/>
      <c r="E31" s="1148"/>
      <c r="F31" s="1148"/>
      <c r="G31" s="1148"/>
      <c r="H31" s="1148"/>
      <c r="I31" s="1148"/>
      <c r="J31" s="1148"/>
      <c r="K31" s="1148"/>
      <c r="L31" s="1149"/>
      <c r="M31" s="1148"/>
      <c r="N31" s="1148"/>
      <c r="O31" s="1148"/>
      <c r="S31" s="2101" t="s">
        <v>350</v>
      </c>
      <c r="T31" s="2101"/>
      <c r="U31" s="1152"/>
      <c r="V31" s="2103" t="e">
        <f>IF(TITLE_NUMBER_PR_CHANGE="",IF(TITLE_NUMBER_PR="","",TITLE_NUMBER_PR),TITLE_NUMBER_PR_CHANGE)</f>
        <v>#REF!</v>
      </c>
      <c r="W31" s="2103"/>
      <c r="X31" s="2103"/>
      <c r="Y31" s="2103"/>
      <c r="Z31" s="2103"/>
      <c r="AA31" s="2103"/>
      <c r="AB31" s="2103"/>
      <c r="AC31" s="209"/>
      <c r="AD31" s="2103" t="e">
        <f>IF(TITLE_NUMBER_PR_CHANGE="",IF(TITLE_NUMBER_PR="","",TITLE_NUMBER_PR),TITLE_NUMBER_PR_CHANGE)</f>
        <v>#REF!</v>
      </c>
      <c r="AE31" s="2103"/>
      <c r="AF31" s="2103"/>
      <c r="AG31" s="2103"/>
      <c r="AH31" s="2103"/>
      <c r="AI31" s="2103"/>
      <c r="AJ31" s="2103"/>
      <c r="AK31" s="209"/>
      <c r="AL31" s="209"/>
      <c r="AM31" s="157"/>
      <c r="AN31" s="252"/>
      <c r="AO31" s="252"/>
      <c r="AP31" s="252"/>
      <c r="AQ31" s="252"/>
      <c r="AR31" s="252"/>
    </row>
    <row r="32" spans="1:44" s="1692" customFormat="1" ht="18.75" hidden="1" customHeight="1">
      <c r="A32" s="1148"/>
      <c r="B32" s="1148"/>
      <c r="C32" s="1148"/>
      <c r="D32" s="1148"/>
      <c r="E32" s="1148"/>
      <c r="F32" s="1148"/>
      <c r="G32" s="1148"/>
      <c r="H32" s="1148"/>
      <c r="I32" s="1148"/>
      <c r="J32" s="1148"/>
      <c r="K32" s="1148"/>
      <c r="L32" s="1149"/>
      <c r="M32" s="1148"/>
      <c r="N32" s="1148"/>
      <c r="O32" s="1148"/>
      <c r="S32" s="2101" t="s">
        <v>7</v>
      </c>
      <c r="T32" s="2101"/>
      <c r="U32" s="1152"/>
      <c r="V32" s="2103" t="e">
        <f>IF(TITLE_IST_PUB_CHANGE="",IF(TITLE_IST_PUB="","",TITLE_IST_PUB),TITLE_IST_PUB_CHANGE)</f>
        <v>#REF!</v>
      </c>
      <c r="W32" s="2103"/>
      <c r="X32" s="2103"/>
      <c r="Y32" s="2103"/>
      <c r="Z32" s="2103"/>
      <c r="AA32" s="2103"/>
      <c r="AB32" s="2103"/>
      <c r="AC32" s="209"/>
      <c r="AD32" s="2103" t="e">
        <f>IF(TITLE_IST_PUB_CHANGE="",IF(TITLE_IST_PUB="","",TITLE_IST_PUB),TITLE_IST_PUB_CHANGE)</f>
        <v>#REF!</v>
      </c>
      <c r="AE32" s="2103"/>
      <c r="AF32" s="2103"/>
      <c r="AG32" s="2103"/>
      <c r="AH32" s="2103"/>
      <c r="AI32" s="2103"/>
      <c r="AJ32" s="2103"/>
      <c r="AK32" s="209"/>
      <c r="AL32" s="209"/>
      <c r="AM32" s="157"/>
      <c r="AN32" s="252"/>
      <c r="AO32" s="252"/>
      <c r="AP32" s="252"/>
      <c r="AQ32" s="252"/>
      <c r="AR32" s="252"/>
    </row>
    <row r="33" spans="1:44" ht="14.25" hidden="1" customHeight="1">
      <c r="P33" s="1109"/>
      <c r="Q33" s="261"/>
      <c r="R33" s="261"/>
      <c r="S33" s="1059"/>
      <c r="T33" s="246"/>
      <c r="U33" s="246"/>
      <c r="V33" s="203"/>
      <c r="W33" s="203"/>
      <c r="X33" s="203"/>
      <c r="Y33" s="203"/>
      <c r="Z33" s="203"/>
      <c r="AA33" s="203"/>
      <c r="AB33" s="203"/>
      <c r="AC33" s="203"/>
      <c r="AD33" s="203"/>
      <c r="AE33" s="203"/>
      <c r="AF33" s="203"/>
      <c r="AG33" s="203"/>
      <c r="AH33" s="203"/>
      <c r="AI33" s="203"/>
      <c r="AJ33" s="203"/>
      <c r="AK33" s="203"/>
      <c r="AL33" s="377"/>
    </row>
    <row r="34" spans="1:44" s="1692" customFormat="1" ht="18.75" hidden="1" customHeight="1">
      <c r="A34" s="1148"/>
      <c r="B34" s="1148"/>
      <c r="C34" s="1148"/>
      <c r="D34" s="1148"/>
      <c r="E34" s="1148"/>
      <c r="F34" s="1148"/>
      <c r="G34" s="1148"/>
      <c r="H34" s="1148"/>
      <c r="I34" s="1148"/>
      <c r="J34" s="1148"/>
      <c r="K34" s="1148"/>
      <c r="L34" s="1149"/>
      <c r="M34" s="1148"/>
      <c r="N34" s="1148"/>
      <c r="O34" s="1148"/>
      <c r="S34" s="2101" t="s">
        <v>351</v>
      </c>
      <c r="T34" s="2101"/>
      <c r="U34" s="1152"/>
      <c r="V34" s="2102" t="e">
        <f>IF(TITLE_DATE_PR_CHANGE="",IF(TITLE_DATE_PR="","",TITLE_DATE_PR),TITLE_DATE_PR_CHANGE)</f>
        <v>#REF!</v>
      </c>
      <c r="W34" s="2102"/>
      <c r="X34" s="2102"/>
      <c r="Y34" s="2102"/>
      <c r="Z34" s="2102"/>
      <c r="AA34" s="2102"/>
      <c r="AB34" s="2102"/>
      <c r="AC34" s="209"/>
      <c r="AD34" s="2102" t="e">
        <f>IF(TITLE_DATE_PR_CHANGE="",IF(TITLE_DATE_PR="","",TITLE_DATE_PR),TITLE_DATE_PR_CHANGE)</f>
        <v>#REF!</v>
      </c>
      <c r="AE34" s="2102"/>
      <c r="AF34" s="2102"/>
      <c r="AG34" s="2102"/>
      <c r="AH34" s="2102"/>
      <c r="AI34" s="2102"/>
      <c r="AJ34" s="2102"/>
      <c r="AK34" s="209"/>
      <c r="AL34" s="209"/>
      <c r="AM34" s="157"/>
      <c r="AN34" s="252"/>
      <c r="AO34" s="252"/>
      <c r="AP34" s="252"/>
      <c r="AQ34" s="252"/>
      <c r="AR34" s="252"/>
    </row>
    <row r="35" spans="1:44" s="1692" customFormat="1" ht="18.75" hidden="1" customHeight="1">
      <c r="A35" s="1148"/>
      <c r="B35" s="1148"/>
      <c r="C35" s="1148"/>
      <c r="D35" s="1148"/>
      <c r="E35" s="1148"/>
      <c r="F35" s="1148"/>
      <c r="G35" s="1148"/>
      <c r="H35" s="1148"/>
      <c r="I35" s="1148"/>
      <c r="J35" s="1148"/>
      <c r="K35" s="1148"/>
      <c r="L35" s="1149"/>
      <c r="M35" s="1148"/>
      <c r="N35" s="1148"/>
      <c r="O35" s="1148"/>
      <c r="S35" s="2101" t="s">
        <v>352</v>
      </c>
      <c r="T35" s="2101"/>
      <c r="U35" s="1152"/>
      <c r="V35" s="2103" t="e">
        <f>IF(TITLE_NUMBER_PR_CHANGE="",IF(TITLE_NUMBER_PR="","",TITLE_NUMBER_PR),TITLE_NUMBER_PR_CHANGE)</f>
        <v>#REF!</v>
      </c>
      <c r="W35" s="2103"/>
      <c r="X35" s="2103"/>
      <c r="Y35" s="2103"/>
      <c r="Z35" s="2103"/>
      <c r="AA35" s="2103"/>
      <c r="AB35" s="2103"/>
      <c r="AC35" s="209"/>
      <c r="AD35" s="2103" t="e">
        <f>IF(TITLE_NUMBER_PR_CHANGE="",IF(TITLE_NUMBER_PR="","",TITLE_NUMBER_PR),TITLE_NUMBER_PR_CHANGE)</f>
        <v>#REF!</v>
      </c>
      <c r="AE35" s="2103"/>
      <c r="AF35" s="2103"/>
      <c r="AG35" s="2103"/>
      <c r="AH35" s="2103"/>
      <c r="AI35" s="2103"/>
      <c r="AJ35" s="2103"/>
      <c r="AK35" s="209"/>
      <c r="AL35" s="209"/>
      <c r="AM35" s="157"/>
      <c r="AN35" s="252"/>
      <c r="AO35" s="252"/>
      <c r="AP35" s="252"/>
      <c r="AQ35" s="252"/>
      <c r="AR35" s="252"/>
    </row>
    <row r="36" spans="1:44" s="1692" customFormat="1" ht="0" hidden="1" customHeight="1">
      <c r="A36" s="1148"/>
      <c r="B36" s="1148"/>
      <c r="C36" s="1148"/>
      <c r="D36" s="1148"/>
      <c r="E36" s="1148"/>
      <c r="F36" s="1148"/>
      <c r="G36" s="1148"/>
      <c r="H36" s="1148"/>
      <c r="I36" s="1148"/>
      <c r="J36" s="1148"/>
      <c r="K36" s="1148"/>
      <c r="L36" s="1149"/>
      <c r="M36" s="1148"/>
      <c r="N36" s="1148"/>
      <c r="O36" s="1148"/>
      <c r="S36" s="205"/>
      <c r="T36" s="205"/>
      <c r="U36" s="991"/>
      <c r="V36" s="209"/>
      <c r="W36" s="209"/>
      <c r="X36" s="209"/>
      <c r="Y36" s="209"/>
      <c r="Z36" s="209"/>
      <c r="AA36" s="209"/>
      <c r="AB36" s="209"/>
      <c r="AC36" s="155" t="s">
        <v>353</v>
      </c>
      <c r="AD36" s="209"/>
      <c r="AE36" s="209"/>
      <c r="AF36" s="209"/>
      <c r="AG36" s="209"/>
      <c r="AH36" s="209"/>
      <c r="AI36" s="209"/>
      <c r="AJ36" s="209"/>
      <c r="AK36" s="155" t="s">
        <v>353</v>
      </c>
      <c r="AN36" s="252"/>
      <c r="AO36" s="252"/>
      <c r="AP36" s="252"/>
      <c r="AQ36" s="252"/>
      <c r="AR36" s="252"/>
    </row>
    <row r="37" spans="1:44" ht="14.25" customHeight="1">
      <c r="Q37" s="261"/>
      <c r="R37" s="261"/>
      <c r="S37" s="1059"/>
      <c r="T37" s="246"/>
      <c r="U37" s="1020"/>
      <c r="V37" s="2123"/>
      <c r="W37" s="2123"/>
      <c r="X37" s="2123"/>
      <c r="Y37" s="2123"/>
      <c r="Z37" s="2123"/>
      <c r="AA37" s="2123"/>
      <c r="AB37" s="2123"/>
      <c r="AC37" s="2123"/>
      <c r="AD37" s="2123"/>
      <c r="AE37" s="2123"/>
      <c r="AF37" s="2123"/>
      <c r="AG37" s="2123"/>
      <c r="AH37" s="2123"/>
      <c r="AI37" s="2123"/>
      <c r="AJ37" s="2123"/>
      <c r="AK37" s="2123"/>
    </row>
    <row r="38" spans="1:44" ht="14.25" customHeight="1">
      <c r="Q38" s="261"/>
      <c r="R38" s="261"/>
      <c r="S38" s="2025" t="s">
        <v>224</v>
      </c>
      <c r="T38" s="2025"/>
      <c r="U38" s="2025"/>
      <c r="V38" s="2025"/>
      <c r="W38" s="2025"/>
      <c r="X38" s="2025"/>
      <c r="Y38" s="2025"/>
      <c r="Z38" s="2025"/>
      <c r="AA38" s="2025"/>
      <c r="AB38" s="2025"/>
      <c r="AC38" s="2025"/>
      <c r="AD38" s="2025"/>
      <c r="AE38" s="2025"/>
      <c r="AF38" s="2025"/>
      <c r="AG38" s="2025"/>
      <c r="AH38" s="2025"/>
      <c r="AI38" s="2025"/>
      <c r="AJ38" s="2025"/>
      <c r="AK38" s="2025"/>
      <c r="AL38" s="2025"/>
      <c r="AM38" s="2025" t="s">
        <v>225</v>
      </c>
    </row>
    <row r="39" spans="1:44" ht="14.25" customHeight="1">
      <c r="Q39" s="261"/>
      <c r="R39" s="261"/>
      <c r="S39" s="2124" t="s">
        <v>22</v>
      </c>
      <c r="T39" s="2068" t="s">
        <v>354</v>
      </c>
      <c r="U39" s="176"/>
      <c r="V39" s="2125" t="s">
        <v>355</v>
      </c>
      <c r="W39" s="2126"/>
      <c r="X39" s="2126"/>
      <c r="Y39" s="2126"/>
      <c r="Z39" s="2126"/>
      <c r="AA39" s="2126"/>
      <c r="AB39" s="2127"/>
      <c r="AC39" s="2128" t="s">
        <v>356</v>
      </c>
      <c r="AD39" s="2125" t="s">
        <v>355</v>
      </c>
      <c r="AE39" s="2126"/>
      <c r="AF39" s="2126"/>
      <c r="AG39" s="2126"/>
      <c r="AH39" s="2126"/>
      <c r="AI39" s="2126"/>
      <c r="AJ39" s="2127"/>
      <c r="AK39" s="2128" t="s">
        <v>357</v>
      </c>
      <c r="AL39" s="2131" t="s">
        <v>358</v>
      </c>
      <c r="AM39" s="2025"/>
    </row>
    <row r="40" spans="1:44" ht="33.75" customHeight="1">
      <c r="Q40" s="261"/>
      <c r="R40" s="261"/>
      <c r="S40" s="2124"/>
      <c r="T40" s="2068"/>
      <c r="U40" s="814"/>
      <c r="V40" s="2036" t="s">
        <v>359</v>
      </c>
      <c r="W40" s="2120" t="s">
        <v>360</v>
      </c>
      <c r="X40" s="1956" t="s">
        <v>361</v>
      </c>
      <c r="Y40" s="1958"/>
      <c r="Z40" s="1956" t="s">
        <v>362</v>
      </c>
      <c r="AA40" s="1957"/>
      <c r="AB40" s="1958"/>
      <c r="AC40" s="2129"/>
      <c r="AD40" s="2036" t="s">
        <v>359</v>
      </c>
      <c r="AE40" s="2120" t="s">
        <v>360</v>
      </c>
      <c r="AF40" s="1956" t="s">
        <v>361</v>
      </c>
      <c r="AG40" s="1958"/>
      <c r="AH40" s="1956" t="s">
        <v>362</v>
      </c>
      <c r="AI40" s="1957"/>
      <c r="AJ40" s="1958"/>
      <c r="AK40" s="2129"/>
      <c r="AL40" s="2132"/>
      <c r="AM40" s="2025"/>
    </row>
    <row r="41" spans="1:44" ht="33.75" customHeight="1">
      <c r="A41" s="1150"/>
      <c r="B41" s="1150" t="s">
        <v>73</v>
      </c>
      <c r="C41" s="1150" t="s">
        <v>74</v>
      </c>
      <c r="D41" s="1150" t="s">
        <v>75</v>
      </c>
      <c r="E41" s="1144" t="s">
        <v>363</v>
      </c>
      <c r="F41" s="1144" t="s">
        <v>364</v>
      </c>
      <c r="G41" s="1144" t="s">
        <v>365</v>
      </c>
      <c r="H41" s="1144" t="s">
        <v>366</v>
      </c>
      <c r="I41" s="1144" t="s">
        <v>367</v>
      </c>
      <c r="J41" s="1144" t="s">
        <v>368</v>
      </c>
      <c r="K41" s="1144" t="s">
        <v>369</v>
      </c>
      <c r="L41" s="1144" t="s">
        <v>344</v>
      </c>
      <c r="Q41" s="261"/>
      <c r="R41" s="261"/>
      <c r="S41" s="2124"/>
      <c r="T41" s="2068"/>
      <c r="U41" s="177"/>
      <c r="V41" s="2093"/>
      <c r="W41" s="2121"/>
      <c r="X41" s="995" t="s">
        <v>370</v>
      </c>
      <c r="Y41" s="995" t="s">
        <v>371</v>
      </c>
      <c r="Z41" s="994" t="s">
        <v>372</v>
      </c>
      <c r="AA41" s="2073" t="s">
        <v>373</v>
      </c>
      <c r="AB41" s="2087"/>
      <c r="AC41" s="2130"/>
      <c r="AD41" s="2093"/>
      <c r="AE41" s="2121"/>
      <c r="AF41" s="995" t="s">
        <v>370</v>
      </c>
      <c r="AG41" s="995" t="s">
        <v>371</v>
      </c>
      <c r="AH41" s="1095" t="s">
        <v>372</v>
      </c>
      <c r="AI41" s="2073" t="s">
        <v>373</v>
      </c>
      <c r="AJ41" s="2087"/>
      <c r="AK41" s="2130"/>
      <c r="AL41" s="2133"/>
      <c r="AM41" s="2025"/>
    </row>
    <row r="42" spans="1:44" s="1621" customFormat="1" ht="11.25" hidden="1" customHeight="1">
      <c r="A42" s="1150"/>
      <c r="B42" s="1150"/>
      <c r="C42" s="1150"/>
      <c r="D42" s="1150"/>
      <c r="E42" s="1150"/>
      <c r="F42" s="1150"/>
      <c r="G42" s="1150"/>
      <c r="H42" s="1150"/>
      <c r="I42" s="1150"/>
      <c r="J42" s="1150"/>
      <c r="K42" s="1150"/>
      <c r="L42" s="1144"/>
      <c r="M42" s="1142"/>
      <c r="N42" s="1142"/>
      <c r="O42" s="1142"/>
      <c r="P42" s="1022"/>
      <c r="Q42" s="1023"/>
      <c r="R42" s="1038">
        <v>1</v>
      </c>
      <c r="S42" s="1061" t="s">
        <v>43</v>
      </c>
      <c r="T42" s="1039" t="s">
        <v>44</v>
      </c>
      <c r="U42" s="1021" t="str">
        <f ca="1">OFFSET(U42,0,-1)</f>
        <v>2</v>
      </c>
      <c r="V42" s="1040">
        <f ca="1">OFFSET(V42,0,-1)+1</f>
        <v>3</v>
      </c>
      <c r="W42" s="1040"/>
      <c r="X42" s="1040">
        <f ca="1">OFFSET(X42,0,-1)+1</f>
        <v>1</v>
      </c>
      <c r="Y42" s="1040">
        <f ca="1">OFFSET(Y42,0,-1)+1</f>
        <v>2</v>
      </c>
      <c r="Z42" s="1040">
        <f ca="1">OFFSET(Z42,0,-1)+1</f>
        <v>3</v>
      </c>
      <c r="AA42" s="2122">
        <f ca="1">OFFSET(AA42,0,-1)+1</f>
        <v>4</v>
      </c>
      <c r="AB42" s="2122"/>
      <c r="AC42" s="1040">
        <f ca="1">OFFSET(AC42,0,-2)+1</f>
        <v>5</v>
      </c>
      <c r="AD42" s="1094">
        <f ca="1">OFFSET(AD42,0,-1)+1</f>
        <v>6</v>
      </c>
      <c r="AE42" s="1094"/>
      <c r="AF42" s="1094">
        <f ca="1">OFFSET(AF42,0,-1)+1</f>
        <v>1</v>
      </c>
      <c r="AG42" s="1094">
        <f ca="1">OFFSET(AG42,0,-1)+1</f>
        <v>2</v>
      </c>
      <c r="AH42" s="1094">
        <f ca="1">OFFSET(AH42,0,-1)+1</f>
        <v>3</v>
      </c>
      <c r="AI42" s="2122">
        <f ca="1">OFFSET(AI42,0,-1)+1</f>
        <v>4</v>
      </c>
      <c r="AJ42" s="2122"/>
      <c r="AK42" s="1094">
        <f ca="1">OFFSET(AK42,0,-2)+1</f>
        <v>5</v>
      </c>
      <c r="AL42" s="1021">
        <f ca="1">OFFSET(AL42,0,-1)</f>
        <v>5</v>
      </c>
      <c r="AM42" s="1040">
        <f ca="1">OFFSET(AM42,0,-1)+1</f>
        <v>6</v>
      </c>
      <c r="AN42" s="379"/>
      <c r="AO42" s="379"/>
      <c r="AP42" s="379"/>
      <c r="AQ42" s="379"/>
      <c r="AR42" s="379"/>
    </row>
    <row r="43" spans="1:44" ht="23.25" customHeight="1">
      <c r="A43" s="1143" t="s">
        <v>94</v>
      </c>
      <c r="B43" s="1143"/>
      <c r="C43" s="1143"/>
      <c r="D43" s="1143"/>
      <c r="E43" s="2111">
        <v>1</v>
      </c>
      <c r="F43" s="1143"/>
      <c r="G43" s="1143"/>
      <c r="H43" s="1143"/>
      <c r="I43" s="1143"/>
      <c r="J43" s="1143"/>
      <c r="K43" s="1143"/>
      <c r="L43" s="1144"/>
      <c r="M43" s="1145"/>
      <c r="N43" s="1145"/>
      <c r="O43" s="1145"/>
      <c r="P43" s="242"/>
      <c r="Q43" s="241"/>
      <c r="R43" s="236"/>
      <c r="S43" s="999">
        <f>INDEX(PT_DIFFERENTIATION_NUM_NTAR,MATCH(A43,PT_DIFFERENTIATION_NTAR_ID,0))</f>
        <v>0</v>
      </c>
      <c r="T43" s="173" t="s">
        <v>61</v>
      </c>
      <c r="U43" s="175"/>
      <c r="V43" s="2104"/>
      <c r="W43" s="2105"/>
      <c r="X43" s="2105"/>
      <c r="Y43" s="2105"/>
      <c r="Z43" s="2105"/>
      <c r="AA43" s="2105"/>
      <c r="AB43" s="2105"/>
      <c r="AC43" s="2106"/>
      <c r="AD43" s="2104" t="str">
        <f>INDEX(PT_DIFFERENTIATION_NTAR,MATCH(A43,PT_DIFFERENTIATION_NTAR_ID,0))</f>
        <v/>
      </c>
      <c r="AE43" s="2105"/>
      <c r="AF43" s="2105"/>
      <c r="AG43" s="2105"/>
      <c r="AH43" s="2105"/>
      <c r="AI43" s="2105"/>
      <c r="AJ43" s="2105"/>
      <c r="AK43" s="2105"/>
      <c r="AL43" s="2106"/>
      <c r="AM43" s="10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68"/>
      <c r="AP43" s="368" t="str">
        <f t="shared" ref="AP43:AP57" si="1">IF(T43="","",T43)</f>
        <v>Наименование тарифа</v>
      </c>
      <c r="AQ43" s="368"/>
      <c r="AR43" s="368"/>
    </row>
    <row r="44" spans="1:44" ht="23.25" customHeight="1">
      <c r="A44" s="1143" t="s">
        <v>94</v>
      </c>
      <c r="B44" s="1143" t="s">
        <v>95</v>
      </c>
      <c r="C44" s="1143"/>
      <c r="D44" s="1143"/>
      <c r="E44" s="2112"/>
      <c r="F44" s="2111">
        <v>1</v>
      </c>
      <c r="G44" s="1143"/>
      <c r="H44" s="1143"/>
      <c r="I44" s="1143"/>
      <c r="J44" s="1143"/>
      <c r="K44" s="1143"/>
      <c r="L44" s="1144"/>
      <c r="M44" s="1145"/>
      <c r="N44" s="1145"/>
      <c r="O44" s="1145"/>
      <c r="P44" s="390"/>
      <c r="Q44" s="233"/>
      <c r="R44" s="234"/>
      <c r="S44" s="999" t="str">
        <f>INDEX(PT_DIFFERENTIATION_NUM_TER,MATCH(B44,PT_DIFFERENTIATION_TER_ID,0))</f>
        <v>.</v>
      </c>
      <c r="T44" s="185" t="s">
        <v>323</v>
      </c>
      <c r="U44" s="175"/>
      <c r="V44" s="2104"/>
      <c r="W44" s="2105"/>
      <c r="X44" s="2105"/>
      <c r="Y44" s="2105"/>
      <c r="Z44" s="2105"/>
      <c r="AA44" s="2105"/>
      <c r="AB44" s="2105"/>
      <c r="AC44" s="2106"/>
      <c r="AD44" s="2104" t="str">
        <f>INDEX(PT_DIFFERENTIATION_TER,MATCH(B44,PT_DIFFERENTIATION_TER_ID,0))</f>
        <v/>
      </c>
      <c r="AE44" s="2105"/>
      <c r="AF44" s="2105"/>
      <c r="AG44" s="2105"/>
      <c r="AH44" s="2105"/>
      <c r="AI44" s="2105"/>
      <c r="AJ44" s="2105"/>
      <c r="AK44" s="2105"/>
      <c r="AL44" s="2106"/>
      <c r="AM44" s="1044" t="s">
        <v>324</v>
      </c>
      <c r="AO44" s="368"/>
      <c r="AP44" s="368" t="str">
        <f t="shared" si="1"/>
        <v>Территория действия тарифа</v>
      </c>
      <c r="AQ44" s="368"/>
      <c r="AR44" s="368"/>
    </row>
    <row r="45" spans="1:44" ht="23.25" customHeight="1">
      <c r="A45" s="1143" t="s">
        <v>94</v>
      </c>
      <c r="B45" s="1143" t="s">
        <v>95</v>
      </c>
      <c r="C45" s="1143" t="s">
        <v>96</v>
      </c>
      <c r="D45" s="1143"/>
      <c r="E45" s="2112"/>
      <c r="F45" s="2112"/>
      <c r="G45" s="2111">
        <v>1</v>
      </c>
      <c r="H45" s="1143"/>
      <c r="I45" s="1143"/>
      <c r="J45" s="1143"/>
      <c r="K45" s="1143"/>
      <c r="L45" s="1144"/>
      <c r="M45" s="1145"/>
      <c r="N45" s="1145"/>
      <c r="O45" s="1145"/>
      <c r="P45" s="235"/>
      <c r="Q45" s="233"/>
      <c r="R45" s="234"/>
      <c r="S45" s="999" t="str">
        <f>INDEX(PT_DIFFERENTIATION_NUM_CS,MATCH(C45,PT_DIFFERENTIATION_CS_ID,0))</f>
        <v>..</v>
      </c>
      <c r="T45" s="186" t="s">
        <v>325</v>
      </c>
      <c r="U45" s="175"/>
      <c r="V45" s="2104"/>
      <c r="W45" s="2105"/>
      <c r="X45" s="2105"/>
      <c r="Y45" s="2105"/>
      <c r="Z45" s="2105"/>
      <c r="AA45" s="2105"/>
      <c r="AB45" s="2105"/>
      <c r="AC45" s="2106"/>
      <c r="AD45" s="2104" t="str">
        <f>INDEX(PT_DIFFERENTIATION_CS,MATCH(C45,PT_DIFFERENTIATION_CS_ID,0))</f>
        <v/>
      </c>
      <c r="AE45" s="2105"/>
      <c r="AF45" s="2105"/>
      <c r="AG45" s="2105"/>
      <c r="AH45" s="2105"/>
      <c r="AI45" s="2105"/>
      <c r="AJ45" s="2105"/>
      <c r="AK45" s="2105"/>
      <c r="AL45" s="2106"/>
      <c r="AM45" s="1044" t="s">
        <v>326</v>
      </c>
      <c r="AO45" s="368"/>
      <c r="AP45" s="368" t="str">
        <f t="shared" si="1"/>
        <v xml:space="preserve">Наименование системы теплоснабжения </v>
      </c>
      <c r="AQ45" s="368"/>
      <c r="AR45" s="368"/>
    </row>
    <row r="46" spans="1:44" ht="23.25" customHeight="1">
      <c r="A46" s="1143" t="s">
        <v>94</v>
      </c>
      <c r="B46" s="1143" t="s">
        <v>95</v>
      </c>
      <c r="C46" s="1143" t="s">
        <v>96</v>
      </c>
      <c r="D46" s="1143" t="s">
        <v>97</v>
      </c>
      <c r="E46" s="2112"/>
      <c r="F46" s="2112"/>
      <c r="G46" s="2112"/>
      <c r="H46" s="2111">
        <v>1</v>
      </c>
      <c r="I46" s="1143"/>
      <c r="J46" s="1143"/>
      <c r="K46" s="1143"/>
      <c r="L46" s="1144"/>
      <c r="M46" s="1145"/>
      <c r="N46" s="1145"/>
      <c r="O46" s="1145"/>
      <c r="P46" s="235"/>
      <c r="Q46" s="233"/>
      <c r="R46" s="234"/>
      <c r="S46" s="999" t="str">
        <f>INDEX(PT_DIFFERENTIATION_NUM_IST_TE,MATCH(D46,PT_DIFFERENTIATION_IST_TE_ID,0))</f>
        <v>...</v>
      </c>
      <c r="T46" s="187" t="s">
        <v>327</v>
      </c>
      <c r="U46" s="175"/>
      <c r="V46" s="2104"/>
      <c r="W46" s="2105"/>
      <c r="X46" s="2105"/>
      <c r="Y46" s="2105"/>
      <c r="Z46" s="2105"/>
      <c r="AA46" s="2105"/>
      <c r="AB46" s="2105"/>
      <c r="AC46" s="2106"/>
      <c r="AD46" s="2104" t="str">
        <f>INDEX(PT_DIFFERENTIATION_IST_TE,MATCH(D46,PT_DIFFERENTIATION_IST_TE_ID,0))</f>
        <v/>
      </c>
      <c r="AE46" s="2105"/>
      <c r="AF46" s="2105"/>
      <c r="AG46" s="2105"/>
      <c r="AH46" s="2105"/>
      <c r="AI46" s="2105"/>
      <c r="AJ46" s="2105"/>
      <c r="AK46" s="2105"/>
      <c r="AL46" s="2106"/>
      <c r="AM46" s="1044" t="s">
        <v>328</v>
      </c>
      <c r="AO46" s="368"/>
      <c r="AP46" s="368" t="str">
        <f t="shared" si="1"/>
        <v xml:space="preserve">Источник тепловой энергии  </v>
      </c>
      <c r="AQ46" s="368"/>
      <c r="AR46" s="368"/>
    </row>
    <row r="47" spans="1:44" ht="47.25" customHeight="1">
      <c r="A47" s="1143" t="s">
        <v>94</v>
      </c>
      <c r="B47" s="1143" t="s">
        <v>95</v>
      </c>
      <c r="C47" s="1143" t="s">
        <v>96</v>
      </c>
      <c r="D47" s="1143" t="s">
        <v>97</v>
      </c>
      <c r="E47" s="2112"/>
      <c r="F47" s="2112"/>
      <c r="G47" s="2112"/>
      <c r="H47" s="2112"/>
      <c r="I47" s="2113" t="str">
        <f>S46&amp;".1"</f>
        <v>....1</v>
      </c>
      <c r="J47" s="1143"/>
      <c r="K47" s="1143"/>
      <c r="L47" s="1144" t="s">
        <v>329</v>
      </c>
      <c r="P47" s="2115">
        <v>1</v>
      </c>
      <c r="Q47" s="993"/>
      <c r="R47" s="237"/>
      <c r="S47" s="999" t="str">
        <f>$I47</f>
        <v>....1</v>
      </c>
      <c r="T47" s="161" t="s">
        <v>330</v>
      </c>
      <c r="U47" s="175"/>
      <c r="V47" s="2098"/>
      <c r="W47" s="2099"/>
      <c r="X47" s="2099"/>
      <c r="Y47" s="2099"/>
      <c r="Z47" s="2099"/>
      <c r="AA47" s="2099"/>
      <c r="AB47" s="2099"/>
      <c r="AC47" s="2100"/>
      <c r="AD47" s="2098"/>
      <c r="AE47" s="2099"/>
      <c r="AF47" s="2099"/>
      <c r="AG47" s="2099"/>
      <c r="AH47" s="2099"/>
      <c r="AI47" s="2099"/>
      <c r="AJ47" s="2099"/>
      <c r="AK47" s="2099"/>
      <c r="AL47" s="2100"/>
      <c r="AM47" s="1044" t="s">
        <v>331</v>
      </c>
      <c r="AO47" s="368"/>
      <c r="AP47" s="368" t="str">
        <f t="shared" si="1"/>
        <v>Схема подключения теплопотребляющей установки к коллектору источника тепловой энергии</v>
      </c>
      <c r="AQ47" s="368"/>
      <c r="AR47" s="368"/>
    </row>
    <row r="48" spans="1:44" ht="23.25" customHeight="1">
      <c r="A48" s="1143" t="s">
        <v>94</v>
      </c>
      <c r="B48" s="1143" t="s">
        <v>95</v>
      </c>
      <c r="C48" s="1143" t="s">
        <v>96</v>
      </c>
      <c r="D48" s="1143" t="s">
        <v>97</v>
      </c>
      <c r="E48" s="2112"/>
      <c r="F48" s="2112"/>
      <c r="G48" s="2112"/>
      <c r="H48" s="2112"/>
      <c r="I48" s="2114"/>
      <c r="J48" s="2113" t="str">
        <f>I47&amp;".1"</f>
        <v>....1.1</v>
      </c>
      <c r="K48" s="1143"/>
      <c r="L48" s="1144" t="s">
        <v>332</v>
      </c>
      <c r="P48" s="2115"/>
      <c r="Q48" s="2115">
        <v>1</v>
      </c>
      <c r="R48" s="238"/>
      <c r="S48" s="999" t="str">
        <f>$J48</f>
        <v>....1.1</v>
      </c>
      <c r="T48" s="162" t="s">
        <v>333</v>
      </c>
      <c r="U48" s="175"/>
      <c r="V48" s="2098"/>
      <c r="W48" s="2099"/>
      <c r="X48" s="2099"/>
      <c r="Y48" s="2099"/>
      <c r="Z48" s="2099"/>
      <c r="AA48" s="2099"/>
      <c r="AB48" s="2099"/>
      <c r="AC48" s="2100"/>
      <c r="AD48" s="2098"/>
      <c r="AE48" s="2099"/>
      <c r="AF48" s="2099"/>
      <c r="AG48" s="2099"/>
      <c r="AH48" s="2099"/>
      <c r="AI48" s="2099"/>
      <c r="AJ48" s="2099"/>
      <c r="AK48" s="2099"/>
      <c r="AL48" s="2100"/>
      <c r="AM48" s="1044" t="s">
        <v>334</v>
      </c>
      <c r="AO48" s="368"/>
      <c r="AP48" s="368" t="str">
        <f t="shared" si="1"/>
        <v>Группа потребителей</v>
      </c>
      <c r="AQ48" s="368"/>
      <c r="AR48" s="368"/>
    </row>
    <row r="49" spans="1:44" ht="23.25" customHeight="1">
      <c r="A49" s="1143" t="s">
        <v>94</v>
      </c>
      <c r="B49" s="1143" t="s">
        <v>95</v>
      </c>
      <c r="C49" s="1143" t="s">
        <v>96</v>
      </c>
      <c r="D49" s="1143" t="s">
        <v>97</v>
      </c>
      <c r="E49" s="2112"/>
      <c r="F49" s="2112"/>
      <c r="G49" s="2112"/>
      <c r="H49" s="2112"/>
      <c r="I49" s="2114"/>
      <c r="J49" s="2114"/>
      <c r="K49" s="2113" t="str">
        <f>J48&amp;".1"</f>
        <v>....1.1.1</v>
      </c>
      <c r="L49" s="1144" t="s">
        <v>335</v>
      </c>
      <c r="P49" s="2115"/>
      <c r="Q49" s="2115"/>
      <c r="R49" s="238">
        <v>1</v>
      </c>
      <c r="S49" s="999" t="str">
        <f>$K49</f>
        <v>....1.1.1</v>
      </c>
      <c r="T49" s="1128"/>
      <c r="U49" s="175"/>
      <c r="V49" s="576"/>
      <c r="W49" s="207"/>
      <c r="X49" s="576"/>
      <c r="Y49" s="1043"/>
      <c r="Z49" s="2116"/>
      <c r="AA49" s="2109" t="s">
        <v>16</v>
      </c>
      <c r="AB49" s="2116"/>
      <c r="AC49" s="2109" t="s">
        <v>16</v>
      </c>
      <c r="AD49" s="576"/>
      <c r="AE49" s="207"/>
      <c r="AF49" s="576"/>
      <c r="AG49" s="1043"/>
      <c r="AH49" s="2116"/>
      <c r="AI49" s="2109" t="s">
        <v>16</v>
      </c>
      <c r="AJ49" s="2118"/>
      <c r="AK49" s="2109" t="s">
        <v>16</v>
      </c>
      <c r="AL49" s="1129"/>
      <c r="AM49" s="2134" t="s">
        <v>336</v>
      </c>
      <c r="AN49" s="379" t="e">
        <f ca="1">STRCHECKDATE(V50:AL50)</f>
        <v>#NAME?</v>
      </c>
      <c r="AO49" s="368"/>
      <c r="AP49" s="368" t="str">
        <f t="shared" si="1"/>
        <v/>
      </c>
      <c r="AQ49" s="368"/>
      <c r="AR49" s="368"/>
    </row>
    <row r="50" spans="1:44" ht="0.75" customHeight="1">
      <c r="A50" s="1143" t="s">
        <v>94</v>
      </c>
      <c r="B50" s="1143" t="s">
        <v>95</v>
      </c>
      <c r="C50" s="1143" t="s">
        <v>96</v>
      </c>
      <c r="D50" s="1143" t="s">
        <v>97</v>
      </c>
      <c r="E50" s="2112"/>
      <c r="F50" s="2112"/>
      <c r="G50" s="2112"/>
      <c r="H50" s="2112"/>
      <c r="I50" s="2114"/>
      <c r="J50" s="2114"/>
      <c r="K50" s="2113"/>
      <c r="L50" s="1144"/>
      <c r="P50" s="2115"/>
      <c r="Q50" s="2115"/>
      <c r="R50" s="238"/>
      <c r="S50" s="997"/>
      <c r="T50" s="175"/>
      <c r="U50" s="175"/>
      <c r="V50" s="207"/>
      <c r="W50" s="207"/>
      <c r="X50" s="207"/>
      <c r="Y50" s="211" t="str">
        <f>Z49&amp;"-"&amp;AB49</f>
        <v>-</v>
      </c>
      <c r="Z50" s="2117"/>
      <c r="AA50" s="2109"/>
      <c r="AB50" s="2117"/>
      <c r="AC50" s="2109"/>
      <c r="AD50" s="207"/>
      <c r="AE50" s="207"/>
      <c r="AF50" s="207"/>
      <c r="AG50" s="211" t="str">
        <f>AH49&amp;"-"&amp;AJ49</f>
        <v>-</v>
      </c>
      <c r="AH50" s="2117"/>
      <c r="AI50" s="2109"/>
      <c r="AJ50" s="2119"/>
      <c r="AK50" s="2109"/>
      <c r="AL50" s="1130"/>
      <c r="AM50" s="2135"/>
      <c r="AO50" s="368"/>
      <c r="AP50" s="368" t="str">
        <f t="shared" si="1"/>
        <v/>
      </c>
      <c r="AQ50" s="368"/>
      <c r="AR50" s="368"/>
    </row>
    <row r="51" spans="1:44" ht="11.25" customHeight="1">
      <c r="A51" s="1143" t="s">
        <v>94</v>
      </c>
      <c r="B51" s="1143" t="s">
        <v>95</v>
      </c>
      <c r="C51" s="1143" t="s">
        <v>96</v>
      </c>
      <c r="D51" s="1143" t="s">
        <v>97</v>
      </c>
      <c r="E51" s="2112"/>
      <c r="F51" s="2112"/>
      <c r="G51" s="2112"/>
      <c r="H51" s="2112"/>
      <c r="I51" s="2114"/>
      <c r="J51" s="2113"/>
      <c r="K51" s="1143"/>
      <c r="L51" s="1144"/>
      <c r="P51" s="2115"/>
      <c r="Q51" s="2115"/>
      <c r="R51" s="237"/>
      <c r="S51" s="1062"/>
      <c r="T51" s="164" t="s">
        <v>337</v>
      </c>
      <c r="U51" s="251"/>
      <c r="V51" s="251"/>
      <c r="W51" s="251"/>
      <c r="X51" s="251"/>
      <c r="Y51" s="251"/>
      <c r="Z51" s="251"/>
      <c r="AA51" s="251"/>
      <c r="AB51" s="251"/>
      <c r="AC51" s="251"/>
      <c r="AD51" s="251"/>
      <c r="AE51" s="251"/>
      <c r="AF51" s="251"/>
      <c r="AG51" s="251"/>
      <c r="AH51" s="251"/>
      <c r="AI51" s="251"/>
      <c r="AJ51" s="251"/>
      <c r="AK51" s="251"/>
      <c r="AL51" s="206"/>
      <c r="AM51" s="2136"/>
      <c r="AO51" s="368"/>
      <c r="AP51" s="368" t="str">
        <f t="shared" si="1"/>
        <v>Добавить вид теплоносителя (параметры теплоносителя)</v>
      </c>
      <c r="AQ51" s="368"/>
      <c r="AR51" s="368"/>
    </row>
    <row r="52" spans="1:44" ht="11.25" customHeight="1">
      <c r="A52" s="1143" t="s">
        <v>94</v>
      </c>
      <c r="B52" s="1143" t="s">
        <v>95</v>
      </c>
      <c r="C52" s="1143" t="s">
        <v>96</v>
      </c>
      <c r="D52" s="1143" t="s">
        <v>97</v>
      </c>
      <c r="E52" s="2112"/>
      <c r="F52" s="2112"/>
      <c r="G52" s="2112"/>
      <c r="H52" s="2112"/>
      <c r="I52" s="2113"/>
      <c r="J52" s="1143"/>
      <c r="K52" s="1143"/>
      <c r="L52" s="1144"/>
      <c r="P52" s="2115"/>
      <c r="Q52" s="993"/>
      <c r="R52" s="237"/>
      <c r="S52" s="1062"/>
      <c r="T52" s="163" t="s">
        <v>338</v>
      </c>
      <c r="U52" s="251"/>
      <c r="V52" s="251"/>
      <c r="W52" s="251"/>
      <c r="X52" s="251"/>
      <c r="Y52" s="251"/>
      <c r="Z52" s="251"/>
      <c r="AA52" s="251"/>
      <c r="AB52" s="251"/>
      <c r="AC52" s="250"/>
      <c r="AD52" s="251"/>
      <c r="AE52" s="251"/>
      <c r="AF52" s="251"/>
      <c r="AG52" s="251"/>
      <c r="AH52" s="251"/>
      <c r="AI52" s="251"/>
      <c r="AJ52" s="251"/>
      <c r="AK52" s="250"/>
      <c r="AL52" s="251"/>
      <c r="AM52" s="178"/>
      <c r="AO52" s="368"/>
      <c r="AP52" s="368" t="str">
        <f t="shared" si="1"/>
        <v>Добавить группу потребителей</v>
      </c>
      <c r="AQ52" s="368"/>
      <c r="AR52" s="368"/>
    </row>
    <row r="53" spans="1:44" ht="14.25" customHeight="1">
      <c r="A53" s="1143" t="s">
        <v>94</v>
      </c>
      <c r="B53" s="1143" t="s">
        <v>95</v>
      </c>
      <c r="C53" s="1143" t="s">
        <v>96</v>
      </c>
      <c r="D53" s="1143" t="s">
        <v>97</v>
      </c>
      <c r="E53" s="2112"/>
      <c r="F53" s="2112"/>
      <c r="G53" s="2112"/>
      <c r="H53" s="2111"/>
      <c r="I53" s="1143"/>
      <c r="J53" s="1143"/>
      <c r="K53" s="1143"/>
      <c r="L53" s="1144"/>
      <c r="M53" s="1145"/>
      <c r="N53" s="1145"/>
      <c r="O53" s="395"/>
      <c r="P53" s="241"/>
      <c r="Q53" s="260"/>
      <c r="R53" s="236"/>
      <c r="S53" s="1062"/>
      <c r="T53" s="248" t="s">
        <v>339</v>
      </c>
      <c r="U53" s="251"/>
      <c r="V53" s="251"/>
      <c r="W53" s="251"/>
      <c r="X53" s="251"/>
      <c r="Y53" s="251"/>
      <c r="Z53" s="251"/>
      <c r="AA53" s="251"/>
      <c r="AB53" s="251"/>
      <c r="AC53" s="250"/>
      <c r="AD53" s="251"/>
      <c r="AE53" s="251"/>
      <c r="AF53" s="251"/>
      <c r="AG53" s="251"/>
      <c r="AH53" s="251"/>
      <c r="AI53" s="251"/>
      <c r="AJ53" s="251"/>
      <c r="AK53" s="250"/>
      <c r="AL53" s="251"/>
      <c r="AM53" s="178"/>
      <c r="AO53" s="368"/>
      <c r="AP53" s="368" t="str">
        <f t="shared" si="1"/>
        <v>Добавить схему подключения</v>
      </c>
      <c r="AQ53" s="368"/>
      <c r="AR53" s="368"/>
    </row>
    <row r="54" spans="1:44" s="1686" customFormat="1" ht="0.75" customHeight="1">
      <c r="A54" s="1124" t="s">
        <v>94</v>
      </c>
      <c r="B54" s="1124" t="s">
        <v>95</v>
      </c>
      <c r="C54" s="1124" t="s">
        <v>96</v>
      </c>
      <c r="D54" s="1096"/>
      <c r="E54" s="2112"/>
      <c r="F54" s="2112"/>
      <c r="G54" s="2111"/>
      <c r="H54" s="1096"/>
      <c r="I54" s="1096"/>
      <c r="J54" s="1096"/>
      <c r="K54" s="1096"/>
      <c r="L54" s="1120"/>
      <c r="M54" s="1097"/>
      <c r="N54" s="1097"/>
      <c r="P54" s="1098"/>
      <c r="Q54" s="1099"/>
      <c r="R54" s="1098"/>
      <c r="S54" s="1104"/>
      <c r="T54" s="1107" t="s">
        <v>340</v>
      </c>
      <c r="U54" s="1106"/>
      <c r="V54" s="1106"/>
      <c r="W54" s="1106"/>
      <c r="X54" s="1106"/>
      <c r="Y54" s="1106"/>
      <c r="Z54" s="1106"/>
      <c r="AA54" s="1106"/>
      <c r="AB54" s="1106"/>
      <c r="AC54" s="1106"/>
      <c r="AD54" s="1106"/>
      <c r="AE54" s="1106"/>
      <c r="AF54" s="1106"/>
      <c r="AG54" s="1106"/>
      <c r="AH54" s="1106"/>
      <c r="AI54" s="1106"/>
      <c r="AJ54" s="1106"/>
      <c r="AK54" s="1106"/>
      <c r="AL54" s="1106"/>
      <c r="AM54" s="1106"/>
      <c r="AO54" s="598"/>
      <c r="AP54" s="598" t="str">
        <f t="shared" si="1"/>
        <v>Добавить источник для дифференциации</v>
      </c>
      <c r="AQ54" s="598"/>
      <c r="AR54" s="598"/>
    </row>
    <row r="55" spans="1:44" s="1686" customFormat="1" ht="0.75" customHeight="1">
      <c r="A55" s="1124" t="s">
        <v>94</v>
      </c>
      <c r="B55" s="1124" t="s">
        <v>95</v>
      </c>
      <c r="C55" s="1096"/>
      <c r="D55" s="1096"/>
      <c r="E55" s="2112"/>
      <c r="F55" s="2111"/>
      <c r="G55" s="1096"/>
      <c r="H55" s="1096"/>
      <c r="I55" s="1096"/>
      <c r="J55" s="1096"/>
      <c r="K55" s="1096"/>
      <c r="L55" s="1120"/>
      <c r="M55" s="1103"/>
      <c r="N55" s="1103"/>
      <c r="P55" s="1098"/>
      <c r="Q55" s="1099"/>
      <c r="R55" s="1098"/>
      <c r="S55" s="1104"/>
      <c r="T55" s="1107" t="s">
        <v>341</v>
      </c>
      <c r="U55" s="1106"/>
      <c r="V55" s="1106"/>
      <c r="W55" s="1106"/>
      <c r="X55" s="1106"/>
      <c r="Y55" s="1106"/>
      <c r="Z55" s="1106"/>
      <c r="AA55" s="1106"/>
      <c r="AB55" s="1106"/>
      <c r="AC55" s="1106"/>
      <c r="AD55" s="1106"/>
      <c r="AE55" s="1106"/>
      <c r="AF55" s="1106"/>
      <c r="AG55" s="1106"/>
      <c r="AH55" s="1106"/>
      <c r="AI55" s="1106"/>
      <c r="AJ55" s="1106"/>
      <c r="AK55" s="1106"/>
      <c r="AL55" s="1106"/>
      <c r="AM55" s="1106"/>
      <c r="AO55" s="598"/>
      <c r="AP55" s="598" t="str">
        <f t="shared" si="1"/>
        <v>Добавить централизованную систему для дифференциации</v>
      </c>
      <c r="AQ55" s="598"/>
      <c r="AR55" s="598"/>
    </row>
    <row r="56" spans="1:44" s="1622" customFormat="1" ht="0.75" customHeight="1">
      <c r="A56" s="1124" t="s">
        <v>94</v>
      </c>
      <c r="B56" s="1124"/>
      <c r="C56" s="1124"/>
      <c r="D56" s="1124"/>
      <c r="E56" s="2111"/>
      <c r="F56" s="1124"/>
      <c r="G56" s="1124"/>
      <c r="H56" s="1124"/>
      <c r="I56" s="1124"/>
      <c r="J56" s="1124"/>
      <c r="K56" s="1124"/>
      <c r="L56" s="1127"/>
      <c r="M56" s="1103"/>
      <c r="N56" s="1103"/>
      <c r="O56" s="386"/>
      <c r="P56" s="269"/>
      <c r="Q56" s="1125"/>
      <c r="R56" s="269"/>
      <c r="S56" s="1104"/>
      <c r="T56" s="1107" t="s">
        <v>342</v>
      </c>
      <c r="U56" s="1106"/>
      <c r="V56" s="1106"/>
      <c r="W56" s="1106"/>
      <c r="X56" s="1106"/>
      <c r="Y56" s="1106"/>
      <c r="Z56" s="1106"/>
      <c r="AA56" s="1106"/>
      <c r="AB56" s="1106"/>
      <c r="AC56" s="1106"/>
      <c r="AD56" s="1106"/>
      <c r="AE56" s="1106"/>
      <c r="AF56" s="1106"/>
      <c r="AG56" s="1106"/>
      <c r="AH56" s="1106"/>
      <c r="AI56" s="1106"/>
      <c r="AJ56" s="1106"/>
      <c r="AK56" s="1106"/>
      <c r="AL56" s="1106"/>
      <c r="AM56" s="1106"/>
      <c r="AO56" s="368"/>
      <c r="AP56" s="368" t="str">
        <f t="shared" si="1"/>
        <v>Добавить территорию для дифференциации</v>
      </c>
      <c r="AQ56" s="368"/>
      <c r="AR56" s="368"/>
    </row>
    <row r="57" spans="1:44" s="1686" customFormat="1" ht="0.75" customHeight="1">
      <c r="A57" s="1096"/>
      <c r="B57" s="1096"/>
      <c r="C57" s="1096"/>
      <c r="D57" s="1096"/>
      <c r="E57" s="1124"/>
      <c r="F57" s="1096"/>
      <c r="G57" s="1096"/>
      <c r="H57" s="1096"/>
      <c r="I57" s="1096"/>
      <c r="J57" s="1096"/>
      <c r="K57" s="1096"/>
      <c r="L57" s="1120"/>
      <c r="M57" s="1103"/>
      <c r="N57" s="1103"/>
      <c r="P57" s="1098"/>
      <c r="Q57" s="1099"/>
      <c r="R57" s="1098"/>
      <c r="S57" s="1104"/>
      <c r="T57" s="1107" t="s">
        <v>374</v>
      </c>
      <c r="U57" s="1106"/>
      <c r="V57" s="1106"/>
      <c r="W57" s="1106"/>
      <c r="X57" s="1106"/>
      <c r="Y57" s="1106"/>
      <c r="Z57" s="1106"/>
      <c r="AA57" s="1106"/>
      <c r="AB57" s="1106"/>
      <c r="AC57" s="1106"/>
      <c r="AD57" s="1106"/>
      <c r="AE57" s="1106"/>
      <c r="AF57" s="1106"/>
      <c r="AG57" s="1106"/>
      <c r="AH57" s="1106"/>
      <c r="AI57" s="1106"/>
      <c r="AJ57" s="1106"/>
      <c r="AK57" s="1106"/>
      <c r="AL57" s="1106"/>
      <c r="AM57" s="1106"/>
      <c r="AO57" s="598"/>
      <c r="AP57" s="598" t="str">
        <f t="shared" si="1"/>
        <v>Добавить наименование тарифа</v>
      </c>
      <c r="AQ57" s="598"/>
      <c r="AR57" s="598"/>
    </row>
    <row r="58" spans="1:44" ht="11.25" customHeight="1">
      <c r="M58" s="929"/>
      <c r="N58" s="929"/>
      <c r="O58" s="395"/>
      <c r="P58" s="924"/>
      <c r="Q58" s="924"/>
      <c r="R58" s="924"/>
      <c r="S58" s="924"/>
      <c r="AN58" s="924"/>
      <c r="AO58" s="924"/>
      <c r="AP58" s="924"/>
      <c r="AQ58" s="924"/>
      <c r="AR58" s="924"/>
    </row>
    <row r="59" spans="1:44" ht="27" customHeight="1">
      <c r="O59" s="395"/>
      <c r="S59" s="1031"/>
      <c r="T59" s="2110"/>
      <c r="U59" s="2110"/>
      <c r="V59" s="2110"/>
      <c r="W59" s="2110"/>
      <c r="X59" s="2110"/>
      <c r="Y59" s="2110"/>
      <c r="Z59" s="2110"/>
      <c r="AA59" s="2110"/>
      <c r="AB59" s="2110"/>
      <c r="AC59" s="2110"/>
      <c r="AD59" s="2110"/>
      <c r="AE59" s="2110"/>
      <c r="AF59" s="2110"/>
      <c r="AG59" s="2110"/>
      <c r="AH59" s="2110"/>
      <c r="AI59" s="2110"/>
      <c r="AJ59" s="2110"/>
      <c r="AK59" s="2110"/>
      <c r="AL59" s="2110"/>
      <c r="AM59" s="2110"/>
    </row>
    <row r="60" spans="1:44" ht="64.5" customHeight="1">
      <c r="O60" s="395"/>
      <c r="P60" s="1086"/>
      <c r="T60" s="2110"/>
      <c r="U60" s="2110"/>
      <c r="V60" s="2110"/>
      <c r="W60" s="2110"/>
      <c r="X60" s="2110"/>
      <c r="Y60" s="2110"/>
      <c r="Z60" s="2110"/>
      <c r="AA60" s="2110"/>
      <c r="AB60" s="2110"/>
      <c r="AC60" s="2110"/>
      <c r="AD60" s="2110"/>
      <c r="AE60" s="2110"/>
      <c r="AF60" s="2110"/>
      <c r="AG60" s="2110"/>
      <c r="AH60" s="2110"/>
      <c r="AI60" s="2110"/>
      <c r="AJ60" s="2110"/>
      <c r="AK60" s="2110"/>
      <c r="AL60" s="2110"/>
      <c r="AM60" s="2110"/>
    </row>
    <row r="61" spans="1:44" ht="14.25" customHeight="1">
      <c r="O61" s="395"/>
    </row>
    <row r="62" spans="1:44" ht="18" customHeight="1">
      <c r="O62" s="395"/>
      <c r="P62" s="1109"/>
      <c r="S62" s="1031"/>
      <c r="T62" s="2110"/>
      <c r="U62" s="2110"/>
      <c r="V62" s="2110"/>
      <c r="W62" s="2110"/>
      <c r="X62" s="2110"/>
      <c r="Y62" s="2110"/>
      <c r="Z62" s="2110"/>
      <c r="AA62" s="2110"/>
      <c r="AB62" s="2110"/>
      <c r="AC62" s="2110"/>
      <c r="AD62" s="2110"/>
      <c r="AE62" s="2110"/>
      <c r="AF62" s="2110"/>
      <c r="AG62" s="2110"/>
      <c r="AH62" s="2110"/>
      <c r="AI62" s="2110"/>
      <c r="AJ62" s="2110"/>
      <c r="AK62" s="2110"/>
      <c r="AL62" s="2110"/>
      <c r="AM62" s="2110"/>
    </row>
    <row r="63" spans="1:44" ht="18" customHeight="1">
      <c r="O63" s="395"/>
      <c r="P63" s="1109"/>
      <c r="T63" s="2110"/>
      <c r="U63" s="2110"/>
      <c r="V63" s="2110"/>
      <c r="W63" s="2110"/>
      <c r="X63" s="2110"/>
      <c r="Y63" s="2110"/>
      <c r="Z63" s="2110"/>
      <c r="AA63" s="2110"/>
      <c r="AB63" s="2110"/>
      <c r="AC63" s="2110"/>
      <c r="AD63" s="2110"/>
      <c r="AE63" s="2110"/>
      <c r="AF63" s="2110"/>
      <c r="AG63" s="2110"/>
      <c r="AH63" s="2110"/>
      <c r="AI63" s="2110"/>
      <c r="AJ63" s="2110"/>
      <c r="AK63" s="2110"/>
      <c r="AL63" s="2110"/>
      <c r="AM63" s="2110"/>
    </row>
    <row r="64" spans="1:44" ht="27.75" customHeight="1">
      <c r="O64" s="395"/>
      <c r="P64" s="1109"/>
      <c r="S64" s="1031"/>
      <c r="T64" s="2110"/>
      <c r="U64" s="2110"/>
      <c r="V64" s="2110"/>
      <c r="W64" s="2110"/>
      <c r="X64" s="2110"/>
      <c r="Y64" s="2110"/>
      <c r="Z64" s="2110"/>
      <c r="AA64" s="2110"/>
      <c r="AB64" s="2110"/>
      <c r="AC64" s="2110"/>
      <c r="AD64" s="2110"/>
      <c r="AE64" s="2110"/>
      <c r="AF64" s="2110"/>
      <c r="AG64" s="2110"/>
      <c r="AH64" s="2110"/>
      <c r="AI64" s="2110"/>
      <c r="AJ64" s="2110"/>
      <c r="AK64" s="2110"/>
      <c r="AL64" s="2110"/>
      <c r="AM64" s="2110"/>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687" hidden="1"/>
    <col min="2" max="2" width="11" style="1687" hidden="1" customWidth="1"/>
    <col min="3" max="3" width="10.5703125" style="1687" hidden="1"/>
    <col min="4" max="4" width="11.85546875" style="1687" hidden="1" customWidth="1"/>
    <col min="5" max="5" width="10" style="1687" hidden="1" customWidth="1"/>
    <col min="6" max="6" width="8.7109375" style="1687" hidden="1" customWidth="1"/>
    <col min="7" max="7" width="7.5703125" style="1687" hidden="1" customWidth="1"/>
    <col min="8" max="8" width="11.42578125" style="1687" hidden="1" customWidth="1"/>
    <col min="9" max="9" width="12" style="1687" hidden="1" customWidth="1"/>
    <col min="10" max="10" width="9.85546875" style="1687" hidden="1" customWidth="1"/>
    <col min="11" max="11" width="11.42578125" style="1687" hidden="1" customWidth="1"/>
    <col min="12" max="12" width="19.140625" style="1688" hidden="1" customWidth="1"/>
    <col min="13" max="14" width="12.28515625" style="1689" hidden="1" customWidth="1"/>
    <col min="15" max="15" width="23.42578125" style="1689" hidden="1" customWidth="1"/>
    <col min="16" max="16" width="3.7109375" style="1693" customWidth="1"/>
    <col min="17" max="18" width="3.7109375" style="1695" customWidth="1"/>
    <col min="19" max="19" width="12.7109375" style="1696" customWidth="1"/>
    <col min="20" max="20" width="32" style="1661" customWidth="1"/>
    <col min="21" max="21" width="0.140625" style="1661" customWidth="1"/>
    <col min="22" max="22" width="24.7109375" style="1661" hidden="1" customWidth="1"/>
    <col min="23" max="23" width="0.140625" style="1661" hidden="1" customWidth="1"/>
    <col min="24" max="25" width="24.7109375" style="1661" hidden="1" customWidth="1"/>
    <col min="26" max="26" width="11.7109375" style="1661" hidden="1" customWidth="1"/>
    <col min="27" max="27" width="3.7109375" style="1661" hidden="1" customWidth="1"/>
    <col min="28" max="28" width="11.7109375" style="1661" hidden="1" customWidth="1"/>
    <col min="29" max="29" width="8.5703125" style="1661" hidden="1" customWidth="1"/>
    <col min="30" max="30" width="24.7109375" style="1661" customWidth="1"/>
    <col min="31" max="31" width="0.140625" style="1661" customWidth="1"/>
    <col min="32" max="33" width="24.7109375" style="1661" customWidth="1"/>
    <col min="34" max="34" width="11.7109375" style="1661" customWidth="1"/>
    <col min="35" max="35" width="3.7109375" style="1661" customWidth="1"/>
    <col min="36" max="36" width="11.7109375" style="1661" customWidth="1"/>
    <col min="37" max="37" width="8.5703125" style="1661" hidden="1" customWidth="1"/>
    <col min="38" max="38" width="4.7109375" style="1661" customWidth="1"/>
    <col min="39" max="39" width="115.7109375" style="1661" customWidth="1"/>
    <col min="40" max="41" width="10.5703125" style="1622"/>
    <col min="42" max="42" width="11.140625" style="1622" customWidth="1"/>
    <col min="43" max="44" width="10.5703125" style="1622"/>
  </cols>
  <sheetData>
    <row r="1" spans="1:44" ht="14.25" hidden="1" customHeight="1">
      <c r="Y1" s="210"/>
      <c r="Z1" s="210"/>
      <c r="AG1" s="210"/>
      <c r="AH1" s="210"/>
    </row>
    <row r="2" spans="1:44" ht="21" hidden="1" customHeight="1">
      <c r="A2" s="1143"/>
      <c r="B2" s="1143"/>
      <c r="C2" s="1143"/>
      <c r="D2" s="1143"/>
      <c r="E2" s="2111">
        <v>1</v>
      </c>
      <c r="F2" s="1143"/>
      <c r="G2" s="1143"/>
      <c r="H2" s="1143"/>
      <c r="I2" s="1143"/>
      <c r="J2" s="1143"/>
      <c r="K2" s="1143"/>
      <c r="L2" s="1144"/>
      <c r="M2" s="1145"/>
      <c r="N2" s="1145"/>
      <c r="O2" s="1145"/>
      <c r="P2" s="242"/>
      <c r="Q2" s="241"/>
      <c r="R2" s="236"/>
      <c r="S2" s="1117" t="e">
        <f>INDEX(PT_DIFFERENTIATION_NUM_NTAR,MATCH(A2,PT_DIFFERENTIATION_NTAR_ID,0))</f>
        <v>#N/A</v>
      </c>
      <c r="T2" s="173" t="s">
        <v>61</v>
      </c>
      <c r="U2" s="175"/>
      <c r="V2" s="2104"/>
      <c r="W2" s="2105"/>
      <c r="X2" s="2105"/>
      <c r="Y2" s="2105"/>
      <c r="Z2" s="2105"/>
      <c r="AA2" s="2105"/>
      <c r="AB2" s="2105"/>
      <c r="AC2" s="2106"/>
      <c r="AD2" s="2104" t="e">
        <f>INDEX(PT_DIFFERENTIATION_NTAR,MATCH(A2,PT_DIFFERENTIATION_NTAR_ID,0))</f>
        <v>#N/A</v>
      </c>
      <c r="AE2" s="2105"/>
      <c r="AF2" s="2105"/>
      <c r="AG2" s="2105"/>
      <c r="AH2" s="2105"/>
      <c r="AI2" s="2105"/>
      <c r="AJ2" s="2105"/>
      <c r="AK2" s="2105"/>
      <c r="AL2" s="2106"/>
      <c r="AM2" s="1044" t="s">
        <v>322</v>
      </c>
      <c r="AO2" s="368"/>
      <c r="AP2" s="368" t="str">
        <f t="shared" ref="AP2:AP15" si="0">IF(T2="","",T2)</f>
        <v>Наименование тарифа</v>
      </c>
      <c r="AQ2" s="368"/>
      <c r="AR2" s="368"/>
    </row>
    <row r="3" spans="1:44" ht="21" hidden="1" customHeight="1">
      <c r="A3" s="1143"/>
      <c r="B3" s="1143"/>
      <c r="C3" s="1143"/>
      <c r="D3" s="1143"/>
      <c r="E3" s="2112"/>
      <c r="F3" s="2111">
        <v>1</v>
      </c>
      <c r="G3" s="1143"/>
      <c r="H3" s="1143"/>
      <c r="I3" s="1143"/>
      <c r="J3" s="1143"/>
      <c r="K3" s="1143"/>
      <c r="L3" s="1144"/>
      <c r="M3" s="1145"/>
      <c r="N3" s="1145"/>
      <c r="O3" s="1145"/>
      <c r="P3" s="1113"/>
      <c r="Q3" s="233"/>
      <c r="R3" s="234"/>
      <c r="S3" s="1117" t="e">
        <f>INDEX(PT_DIFFERENTIATION_NUM_TER,MATCH(B3,PT_DIFFERENTIATION_TER_ID,0))</f>
        <v>#N/A</v>
      </c>
      <c r="T3" s="185" t="s">
        <v>323</v>
      </c>
      <c r="U3" s="175"/>
      <c r="V3" s="2104"/>
      <c r="W3" s="2105"/>
      <c r="X3" s="2105"/>
      <c r="Y3" s="2105"/>
      <c r="Z3" s="2105"/>
      <c r="AA3" s="2105"/>
      <c r="AB3" s="2105"/>
      <c r="AC3" s="2106"/>
      <c r="AD3" s="2104" t="e">
        <f>INDEX(PT_DIFFERENTIATION_TER,MATCH(B3,PT_DIFFERENTIATION_TER_ID,0))</f>
        <v>#N/A</v>
      </c>
      <c r="AE3" s="2105"/>
      <c r="AF3" s="2105"/>
      <c r="AG3" s="2105"/>
      <c r="AH3" s="2105"/>
      <c r="AI3" s="2105"/>
      <c r="AJ3" s="2105"/>
      <c r="AK3" s="2105"/>
      <c r="AL3" s="2106"/>
      <c r="AM3" s="1044" t="s">
        <v>324</v>
      </c>
      <c r="AO3" s="368"/>
      <c r="AP3" s="368" t="str">
        <f t="shared" si="0"/>
        <v>Территория действия тарифа</v>
      </c>
      <c r="AQ3" s="368"/>
      <c r="AR3" s="368"/>
    </row>
    <row r="4" spans="1:44" ht="23.25" hidden="1" customHeight="1">
      <c r="A4" s="1143"/>
      <c r="B4" s="1143"/>
      <c r="C4" s="1143"/>
      <c r="D4" s="1143"/>
      <c r="E4" s="2112"/>
      <c r="F4" s="2112"/>
      <c r="G4" s="2111">
        <v>1</v>
      </c>
      <c r="H4" s="1143"/>
      <c r="I4" s="1143"/>
      <c r="J4" s="1143"/>
      <c r="K4" s="1143"/>
      <c r="L4" s="1144"/>
      <c r="M4" s="1145"/>
      <c r="N4" s="1145"/>
      <c r="O4" s="1145"/>
      <c r="P4" s="235"/>
      <c r="Q4" s="233"/>
      <c r="R4" s="234"/>
      <c r="S4" s="1117" t="e">
        <f>INDEX(PT_DIFFERENTIATION_NUM_CS,MATCH(C4,PT_DIFFERENTIATION_CS_ID,0))</f>
        <v>#N/A</v>
      </c>
      <c r="T4" s="186" t="s">
        <v>325</v>
      </c>
      <c r="U4" s="175"/>
      <c r="V4" s="2104"/>
      <c r="W4" s="2105"/>
      <c r="X4" s="2105"/>
      <c r="Y4" s="2105"/>
      <c r="Z4" s="2105"/>
      <c r="AA4" s="2105"/>
      <c r="AB4" s="2105"/>
      <c r="AC4" s="2106"/>
      <c r="AD4" s="2104" t="e">
        <f>INDEX(PT_DIFFERENTIATION_CS,MATCH(C4,PT_DIFFERENTIATION_CS_ID,0))</f>
        <v>#N/A</v>
      </c>
      <c r="AE4" s="2105"/>
      <c r="AF4" s="2105"/>
      <c r="AG4" s="2105"/>
      <c r="AH4" s="2105"/>
      <c r="AI4" s="2105"/>
      <c r="AJ4" s="2105"/>
      <c r="AK4" s="2105"/>
      <c r="AL4" s="2106"/>
      <c r="AM4" s="1044" t="s">
        <v>326</v>
      </c>
      <c r="AO4" s="368"/>
      <c r="AP4" s="368" t="str">
        <f t="shared" si="0"/>
        <v xml:space="preserve">Наименование системы теплоснабжения </v>
      </c>
      <c r="AQ4" s="368"/>
      <c r="AR4" s="368"/>
    </row>
    <row r="5" spans="1:44" ht="21" hidden="1" customHeight="1">
      <c r="A5" s="1143"/>
      <c r="B5" s="1143"/>
      <c r="C5" s="1143"/>
      <c r="D5" s="1143"/>
      <c r="E5" s="2112"/>
      <c r="F5" s="2112"/>
      <c r="G5" s="2112"/>
      <c r="H5" s="2111">
        <v>1</v>
      </c>
      <c r="I5" s="1143"/>
      <c r="J5" s="1143"/>
      <c r="K5" s="1143"/>
      <c r="L5" s="1144"/>
      <c r="M5" s="1145"/>
      <c r="N5" s="1145"/>
      <c r="O5" s="1145"/>
      <c r="P5" s="235"/>
      <c r="Q5" s="233"/>
      <c r="R5" s="234"/>
      <c r="S5" s="1117" t="e">
        <f>INDEX(PT_DIFFERENTIATION_NUM_IST_TE,MATCH(D5,PT_DIFFERENTIATION_IST_TE_ID,0))</f>
        <v>#N/A</v>
      </c>
      <c r="T5" s="187" t="s">
        <v>327</v>
      </c>
      <c r="U5" s="175"/>
      <c r="V5" s="2104"/>
      <c r="W5" s="2105"/>
      <c r="X5" s="2105"/>
      <c r="Y5" s="2105"/>
      <c r="Z5" s="2105"/>
      <c r="AA5" s="2105"/>
      <c r="AB5" s="2105"/>
      <c r="AC5" s="2106"/>
      <c r="AD5" s="2104" t="e">
        <f>INDEX(PT_DIFFERENTIATION_IST_TE,MATCH(D5,PT_DIFFERENTIATION_IST_TE_ID,0))</f>
        <v>#N/A</v>
      </c>
      <c r="AE5" s="2105"/>
      <c r="AF5" s="2105"/>
      <c r="AG5" s="2105"/>
      <c r="AH5" s="2105"/>
      <c r="AI5" s="2105"/>
      <c r="AJ5" s="2105"/>
      <c r="AK5" s="2105"/>
      <c r="AL5" s="2106"/>
      <c r="AM5" s="1044" t="s">
        <v>328</v>
      </c>
      <c r="AO5" s="368"/>
      <c r="AP5" s="368" t="str">
        <f t="shared" si="0"/>
        <v xml:space="preserve">Источник тепловой энергии  </v>
      </c>
      <c r="AQ5" s="368"/>
      <c r="AR5" s="368"/>
    </row>
    <row r="6" spans="1:44" ht="47.25" hidden="1" customHeight="1">
      <c r="A6" s="1143"/>
      <c r="B6" s="1143"/>
      <c r="C6" s="1143"/>
      <c r="D6" s="1143"/>
      <c r="E6" s="2112"/>
      <c r="F6" s="2112"/>
      <c r="G6" s="2112"/>
      <c r="H6" s="2112"/>
      <c r="I6" s="2113" t="e">
        <f>S5&amp;".1"</f>
        <v>#N/A</v>
      </c>
      <c r="J6" s="1143"/>
      <c r="K6" s="1143"/>
      <c r="L6" s="1144" t="s">
        <v>329</v>
      </c>
      <c r="M6" s="395"/>
      <c r="P6" s="2115">
        <v>1</v>
      </c>
      <c r="Q6" s="1112"/>
      <c r="R6" s="237"/>
      <c r="S6" s="1117" t="e">
        <f>$I6</f>
        <v>#N/A</v>
      </c>
      <c r="T6" s="161" t="s">
        <v>330</v>
      </c>
      <c r="U6" s="175"/>
      <c r="V6" s="2098"/>
      <c r="W6" s="2099"/>
      <c r="X6" s="2099"/>
      <c r="Y6" s="2099"/>
      <c r="Z6" s="2099"/>
      <c r="AA6" s="2099"/>
      <c r="AB6" s="2099"/>
      <c r="AC6" s="2100"/>
      <c r="AD6" s="2098"/>
      <c r="AE6" s="2099"/>
      <c r="AF6" s="2099"/>
      <c r="AG6" s="2099"/>
      <c r="AH6" s="2099"/>
      <c r="AI6" s="2099"/>
      <c r="AJ6" s="2099"/>
      <c r="AK6" s="2099"/>
      <c r="AL6" s="2100"/>
      <c r="AM6" s="1044" t="s">
        <v>331</v>
      </c>
      <c r="AO6" s="368"/>
      <c r="AP6" s="368" t="str">
        <f t="shared" si="0"/>
        <v>Схема подключения теплопотребляющей установки к коллектору источника тепловой энергии</v>
      </c>
      <c r="AQ6" s="368"/>
      <c r="AR6" s="368"/>
    </row>
    <row r="7" spans="1:44" ht="21" hidden="1" customHeight="1">
      <c r="A7" s="1143"/>
      <c r="B7" s="1143"/>
      <c r="C7" s="1143"/>
      <c r="D7" s="1143"/>
      <c r="E7" s="2112"/>
      <c r="F7" s="2112"/>
      <c r="G7" s="2112"/>
      <c r="H7" s="2112"/>
      <c r="I7" s="2114"/>
      <c r="J7" s="2113" t="e">
        <f>I6&amp;".1"</f>
        <v>#N/A</v>
      </c>
      <c r="K7" s="1143"/>
      <c r="L7" s="1144" t="s">
        <v>332</v>
      </c>
      <c r="M7" s="395"/>
      <c r="N7" s="1146"/>
      <c r="P7" s="2115"/>
      <c r="Q7" s="2115">
        <v>1</v>
      </c>
      <c r="R7" s="238"/>
      <c r="S7" s="1117" t="e">
        <f>$J7</f>
        <v>#N/A</v>
      </c>
      <c r="T7" s="162" t="s">
        <v>333</v>
      </c>
      <c r="U7" s="175"/>
      <c r="V7" s="2098"/>
      <c r="W7" s="2099"/>
      <c r="X7" s="2099"/>
      <c r="Y7" s="2099"/>
      <c r="Z7" s="2099"/>
      <c r="AA7" s="2099"/>
      <c r="AB7" s="2099"/>
      <c r="AC7" s="2100"/>
      <c r="AD7" s="2098"/>
      <c r="AE7" s="2099"/>
      <c r="AF7" s="2099"/>
      <c r="AG7" s="2099"/>
      <c r="AH7" s="2099"/>
      <c r="AI7" s="2099"/>
      <c r="AJ7" s="2099"/>
      <c r="AK7" s="2099"/>
      <c r="AL7" s="2100"/>
      <c r="AM7" s="1044" t="s">
        <v>334</v>
      </c>
      <c r="AO7" s="368"/>
      <c r="AP7" s="368" t="str">
        <f t="shared" si="0"/>
        <v>Группа потребителей</v>
      </c>
      <c r="AQ7" s="368"/>
      <c r="AR7" s="368"/>
    </row>
    <row r="8" spans="1:44" ht="21" hidden="1" customHeight="1">
      <c r="A8" s="1143"/>
      <c r="B8" s="1143"/>
      <c r="C8" s="1143"/>
      <c r="D8" s="1143"/>
      <c r="E8" s="2112"/>
      <c r="F8" s="2112"/>
      <c r="G8" s="2112"/>
      <c r="H8" s="2112"/>
      <c r="I8" s="2114"/>
      <c r="J8" s="2114"/>
      <c r="K8" s="2113" t="e">
        <f>J7&amp;".1"</f>
        <v>#N/A</v>
      </c>
      <c r="L8" s="1144" t="s">
        <v>335</v>
      </c>
      <c r="M8" s="395"/>
      <c r="N8" s="1146"/>
      <c r="O8" s="1146"/>
      <c r="P8" s="2115"/>
      <c r="Q8" s="2115"/>
      <c r="R8" s="238">
        <v>1</v>
      </c>
      <c r="S8" s="1117" t="e">
        <f>$K8</f>
        <v>#N/A</v>
      </c>
      <c r="T8" s="1128"/>
      <c r="U8" s="175"/>
      <c r="V8" s="576"/>
      <c r="W8" s="207"/>
      <c r="X8" s="576"/>
      <c r="Y8" s="1043"/>
      <c r="Z8" s="2116"/>
      <c r="AA8" s="2109" t="s">
        <v>16</v>
      </c>
      <c r="AB8" s="2116"/>
      <c r="AC8" s="2109" t="s">
        <v>16</v>
      </c>
      <c r="AD8" s="576"/>
      <c r="AE8" s="207"/>
      <c r="AF8" s="576"/>
      <c r="AG8" s="1043"/>
      <c r="AH8" s="2116"/>
      <c r="AI8" s="2109" t="s">
        <v>16</v>
      </c>
      <c r="AJ8" s="2116"/>
      <c r="AK8" s="2109" t="s">
        <v>16</v>
      </c>
      <c r="AL8" s="207"/>
      <c r="AM8" s="2134" t="s">
        <v>336</v>
      </c>
      <c r="AN8" s="379" t="e">
        <f ca="1">STRCHECKDATE(V9:AL9)</f>
        <v>#NAME?</v>
      </c>
      <c r="AO8" s="368"/>
      <c r="AP8" s="368" t="str">
        <f t="shared" si="0"/>
        <v/>
      </c>
      <c r="AQ8" s="368"/>
      <c r="AR8" s="368"/>
    </row>
    <row r="9" spans="1:44" ht="0.75" hidden="1" customHeight="1">
      <c r="A9" s="1143"/>
      <c r="B9" s="1143"/>
      <c r="C9" s="1143"/>
      <c r="D9" s="1143"/>
      <c r="E9" s="2112"/>
      <c r="F9" s="2112"/>
      <c r="G9" s="2112"/>
      <c r="H9" s="2112"/>
      <c r="I9" s="2114"/>
      <c r="J9" s="2114"/>
      <c r="K9" s="2113"/>
      <c r="L9" s="1144"/>
      <c r="M9" s="395"/>
      <c r="N9" s="1146"/>
      <c r="O9" s="1146"/>
      <c r="P9" s="2115"/>
      <c r="Q9" s="2115"/>
      <c r="R9" s="238"/>
      <c r="S9" s="1123"/>
      <c r="T9" s="175"/>
      <c r="U9" s="175"/>
      <c r="V9" s="207"/>
      <c r="W9" s="207"/>
      <c r="X9" s="207"/>
      <c r="Y9" s="211" t="str">
        <f>Z8&amp;"-"&amp;AB8</f>
        <v>-</v>
      </c>
      <c r="Z9" s="2117"/>
      <c r="AA9" s="2109"/>
      <c r="AB9" s="2117"/>
      <c r="AC9" s="2109"/>
      <c r="AD9" s="207"/>
      <c r="AE9" s="207"/>
      <c r="AF9" s="207"/>
      <c r="AG9" s="211" t="str">
        <f>AH8&amp;"-"&amp;AJ8</f>
        <v>-</v>
      </c>
      <c r="AH9" s="2117"/>
      <c r="AI9" s="2109"/>
      <c r="AJ9" s="2117"/>
      <c r="AK9" s="2109"/>
      <c r="AL9" s="207"/>
      <c r="AM9" s="2135"/>
      <c r="AO9" s="368"/>
      <c r="AP9" s="368" t="str">
        <f t="shared" si="0"/>
        <v/>
      </c>
      <c r="AQ9" s="368"/>
      <c r="AR9" s="368"/>
    </row>
    <row r="10" spans="1:44" ht="15" hidden="1" customHeight="1">
      <c r="A10" s="1143"/>
      <c r="B10" s="1143"/>
      <c r="C10" s="1143"/>
      <c r="D10" s="1143"/>
      <c r="E10" s="2112"/>
      <c r="F10" s="2112"/>
      <c r="G10" s="2112"/>
      <c r="H10" s="2112"/>
      <c r="I10" s="2114"/>
      <c r="J10" s="2113"/>
      <c r="K10" s="1143"/>
      <c r="L10" s="1144"/>
      <c r="M10" s="395"/>
      <c r="N10" s="1146"/>
      <c r="P10" s="2115"/>
      <c r="Q10" s="2115"/>
      <c r="R10" s="237"/>
      <c r="S10" s="1062"/>
      <c r="T10" s="164" t="s">
        <v>337</v>
      </c>
      <c r="U10" s="251"/>
      <c r="V10" s="251"/>
      <c r="W10" s="251"/>
      <c r="X10" s="251"/>
      <c r="Y10" s="251"/>
      <c r="Z10" s="251"/>
      <c r="AA10" s="251"/>
      <c r="AB10" s="251"/>
      <c r="AC10" s="251"/>
      <c r="AD10" s="251"/>
      <c r="AE10" s="251"/>
      <c r="AF10" s="251"/>
      <c r="AG10" s="251"/>
      <c r="AH10" s="251"/>
      <c r="AI10" s="251"/>
      <c r="AJ10" s="251"/>
      <c r="AK10" s="251"/>
      <c r="AL10" s="206"/>
      <c r="AM10" s="2136"/>
      <c r="AO10" s="368"/>
      <c r="AP10" s="368" t="str">
        <f t="shared" si="0"/>
        <v>Добавить вид теплоносителя (параметры теплоносителя)</v>
      </c>
      <c r="AQ10" s="368"/>
      <c r="AR10" s="368"/>
    </row>
    <row r="11" spans="1:44" ht="15" hidden="1" customHeight="1">
      <c r="A11" s="1143"/>
      <c r="B11" s="1143"/>
      <c r="C11" s="1143"/>
      <c r="D11" s="1143"/>
      <c r="E11" s="2112"/>
      <c r="F11" s="2112"/>
      <c r="G11" s="2112"/>
      <c r="H11" s="2112"/>
      <c r="I11" s="2113"/>
      <c r="J11" s="1143"/>
      <c r="K11" s="1143"/>
      <c r="L11" s="1144"/>
      <c r="M11" s="395"/>
      <c r="P11" s="2115"/>
      <c r="Q11" s="1112"/>
      <c r="R11" s="237"/>
      <c r="S11" s="1062"/>
      <c r="T11" s="163" t="s">
        <v>338</v>
      </c>
      <c r="U11" s="251"/>
      <c r="V11" s="251"/>
      <c r="W11" s="251"/>
      <c r="X11" s="251"/>
      <c r="Y11" s="251"/>
      <c r="Z11" s="251"/>
      <c r="AA11" s="251"/>
      <c r="AB11" s="251"/>
      <c r="AC11" s="250"/>
      <c r="AD11" s="251"/>
      <c r="AE11" s="251"/>
      <c r="AF11" s="251"/>
      <c r="AG11" s="251"/>
      <c r="AH11" s="251"/>
      <c r="AI11" s="251"/>
      <c r="AJ11" s="251"/>
      <c r="AK11" s="250"/>
      <c r="AL11" s="251"/>
      <c r="AM11" s="178"/>
      <c r="AO11" s="368"/>
      <c r="AP11" s="368" t="str">
        <f t="shared" si="0"/>
        <v>Добавить группу потребителей</v>
      </c>
      <c r="AQ11" s="368"/>
      <c r="AR11" s="368"/>
    </row>
    <row r="12" spans="1:44" ht="14.25" hidden="1" customHeight="1">
      <c r="A12" s="1143"/>
      <c r="B12" s="1143"/>
      <c r="C12" s="1143"/>
      <c r="D12" s="1143"/>
      <c r="E12" s="2112"/>
      <c r="F12" s="2112"/>
      <c r="G12" s="2112"/>
      <c r="H12" s="2111"/>
      <c r="I12" s="1143"/>
      <c r="J12" s="1143"/>
      <c r="K12" s="1143"/>
      <c r="L12" s="1144"/>
      <c r="M12" s="1145"/>
      <c r="N12" s="1145"/>
      <c r="O12" s="395"/>
      <c r="P12" s="241"/>
      <c r="Q12" s="260"/>
      <c r="R12" s="236"/>
      <c r="S12" s="1062"/>
      <c r="T12" s="248" t="s">
        <v>339</v>
      </c>
      <c r="U12" s="251"/>
      <c r="V12" s="251"/>
      <c r="W12" s="251"/>
      <c r="X12" s="251"/>
      <c r="Y12" s="251"/>
      <c r="Z12" s="251"/>
      <c r="AA12" s="251"/>
      <c r="AB12" s="251"/>
      <c r="AC12" s="250"/>
      <c r="AD12" s="251"/>
      <c r="AE12" s="251"/>
      <c r="AF12" s="251"/>
      <c r="AG12" s="251"/>
      <c r="AH12" s="251"/>
      <c r="AI12" s="251"/>
      <c r="AJ12" s="251"/>
      <c r="AK12" s="250"/>
      <c r="AL12" s="251"/>
      <c r="AM12" s="178"/>
      <c r="AO12" s="368"/>
      <c r="AP12" s="368" t="str">
        <f t="shared" si="0"/>
        <v>Добавить схему подключения</v>
      </c>
      <c r="AQ12" s="368"/>
      <c r="AR12" s="368"/>
    </row>
    <row r="13" spans="1:44" s="1686" customFormat="1" ht="0.75" hidden="1" customHeight="1">
      <c r="A13" s="1096"/>
      <c r="B13" s="1096"/>
      <c r="C13" s="1096"/>
      <c r="D13" s="1096"/>
      <c r="E13" s="2112"/>
      <c r="F13" s="2112"/>
      <c r="G13" s="2111"/>
      <c r="H13" s="1096"/>
      <c r="I13" s="1096"/>
      <c r="J13" s="1096"/>
      <c r="K13" s="1096"/>
      <c r="L13" s="1120"/>
      <c r="M13" s="1097"/>
      <c r="N13" s="1097"/>
      <c r="P13" s="1098"/>
      <c r="Q13" s="1099"/>
      <c r="R13" s="1098"/>
      <c r="S13" s="1100"/>
      <c r="T13" s="1101" t="s">
        <v>340</v>
      </c>
      <c r="U13" s="1102"/>
      <c r="V13" s="1102"/>
      <c r="W13" s="1102"/>
      <c r="X13" s="1102"/>
      <c r="Y13" s="1102"/>
      <c r="Z13" s="1102"/>
      <c r="AA13" s="1102"/>
      <c r="AB13" s="1102"/>
      <c r="AC13" s="1102"/>
      <c r="AD13" s="1102"/>
      <c r="AE13" s="1102"/>
      <c r="AF13" s="1102"/>
      <c r="AG13" s="1102"/>
      <c r="AH13" s="1102"/>
      <c r="AI13" s="1102"/>
      <c r="AJ13" s="1102"/>
      <c r="AK13" s="1102"/>
      <c r="AL13" s="1102"/>
      <c r="AM13" s="1102"/>
      <c r="AO13" s="598"/>
      <c r="AP13" s="598" t="str">
        <f t="shared" si="0"/>
        <v>Добавить источник для дифференциации</v>
      </c>
      <c r="AQ13" s="598"/>
      <c r="AR13" s="598"/>
    </row>
    <row r="14" spans="1:44" s="1686" customFormat="1" ht="0.75" hidden="1" customHeight="1">
      <c r="A14" s="1096"/>
      <c r="B14" s="1096"/>
      <c r="C14" s="1096"/>
      <c r="D14" s="1096"/>
      <c r="E14" s="2112"/>
      <c r="F14" s="2111"/>
      <c r="G14" s="1096"/>
      <c r="H14" s="1096"/>
      <c r="I14" s="1096"/>
      <c r="J14" s="1096"/>
      <c r="K14" s="1096"/>
      <c r="L14" s="1120"/>
      <c r="M14" s="1103"/>
      <c r="N14" s="1103"/>
      <c r="P14" s="1098"/>
      <c r="Q14" s="1099"/>
      <c r="R14" s="1098"/>
      <c r="S14" s="1104"/>
      <c r="T14" s="1105" t="s">
        <v>341</v>
      </c>
      <c r="U14" s="1106"/>
      <c r="V14" s="1106"/>
      <c r="W14" s="1106"/>
      <c r="X14" s="1106"/>
      <c r="Y14" s="1106"/>
      <c r="Z14" s="1106"/>
      <c r="AA14" s="1106"/>
      <c r="AB14" s="1106"/>
      <c r="AC14" s="1106"/>
      <c r="AD14" s="1106"/>
      <c r="AE14" s="1106"/>
      <c r="AF14" s="1106"/>
      <c r="AG14" s="1106"/>
      <c r="AH14" s="1106"/>
      <c r="AI14" s="1106"/>
      <c r="AJ14" s="1106"/>
      <c r="AK14" s="1106"/>
      <c r="AL14" s="1106"/>
      <c r="AM14" s="1106"/>
      <c r="AO14" s="598"/>
      <c r="AP14" s="598" t="str">
        <f t="shared" si="0"/>
        <v>Добавить централизованную систему для дифференциации</v>
      </c>
      <c r="AQ14" s="598"/>
      <c r="AR14" s="598"/>
    </row>
    <row r="15" spans="1:44" s="1686" customFormat="1" ht="0.75" hidden="1" customHeight="1">
      <c r="A15" s="1096"/>
      <c r="B15" s="1096"/>
      <c r="C15" s="1096"/>
      <c r="D15" s="1096"/>
      <c r="E15" s="2111"/>
      <c r="F15" s="1096"/>
      <c r="G15" s="1096"/>
      <c r="H15" s="1096"/>
      <c r="I15" s="1096"/>
      <c r="J15" s="1096"/>
      <c r="K15" s="1096"/>
      <c r="L15" s="1120"/>
      <c r="M15" s="1103"/>
      <c r="N15" s="1103"/>
      <c r="P15" s="1098"/>
      <c r="Q15" s="1099"/>
      <c r="R15" s="1098"/>
      <c r="S15" s="1104"/>
      <c r="T15" s="1107" t="s">
        <v>342</v>
      </c>
      <c r="U15" s="1106"/>
      <c r="V15" s="1106"/>
      <c r="W15" s="1106"/>
      <c r="X15" s="1106"/>
      <c r="Y15" s="1106"/>
      <c r="Z15" s="1106"/>
      <c r="AA15" s="1106"/>
      <c r="AB15" s="1106"/>
      <c r="AC15" s="1106"/>
      <c r="AD15" s="1106"/>
      <c r="AE15" s="1106"/>
      <c r="AF15" s="1106"/>
      <c r="AG15" s="1106"/>
      <c r="AH15" s="1106"/>
      <c r="AI15" s="1106"/>
      <c r="AJ15" s="1106"/>
      <c r="AK15" s="1106"/>
      <c r="AL15" s="1106"/>
      <c r="AM15" s="1106"/>
      <c r="AO15" s="598"/>
      <c r="AP15" s="598" t="str">
        <f t="shared" si="0"/>
        <v>Добавить территорию для дифференциации</v>
      </c>
      <c r="AQ15" s="598"/>
      <c r="AR15" s="598"/>
    </row>
    <row r="16" spans="1:44" ht="14.25" hidden="1" customHeight="1">
      <c r="AC16" s="210"/>
      <c r="AK16" s="210"/>
    </row>
    <row r="17" spans="1:44" ht="14.25" hidden="1" customHeight="1">
      <c r="AD17" s="1140"/>
      <c r="AE17" s="1140"/>
      <c r="AF17" s="1140"/>
      <c r="AG17" s="1141"/>
      <c r="AH17" s="2108"/>
      <c r="AI17" s="2107" t="s">
        <v>16</v>
      </c>
      <c r="AJ17" s="2108"/>
      <c r="AK17" s="2107" t="s">
        <v>16</v>
      </c>
    </row>
    <row r="18" spans="1:44" ht="14.25" hidden="1" customHeight="1">
      <c r="AD18" s="1140"/>
      <c r="AE18" s="1140"/>
      <c r="AF18" s="1140"/>
      <c r="AG18" s="211" t="str">
        <f>AH17&amp;"-"&amp;AJ17</f>
        <v>-</v>
      </c>
      <c r="AH18" s="2107"/>
      <c r="AI18" s="2107"/>
      <c r="AJ18" s="2107"/>
      <c r="AK18" s="2107"/>
    </row>
    <row r="19" spans="1:44" ht="14.25" hidden="1" customHeight="1">
      <c r="AK19" s="210"/>
    </row>
    <row r="20" spans="1:44" s="1687" customFormat="1" ht="22.5" hidden="1" customHeight="1">
      <c r="L20" s="1110"/>
      <c r="M20" s="1142"/>
      <c r="N20" s="1142"/>
      <c r="O20" s="1147" t="s">
        <v>343</v>
      </c>
      <c r="P20" s="1142"/>
      <c r="Q20" s="1151"/>
      <c r="R20" s="1151"/>
      <c r="S20" s="556"/>
      <c r="Z20" s="1147"/>
      <c r="AB20" s="1147"/>
      <c r="AC20" s="1146"/>
      <c r="AH20" s="1147"/>
      <c r="AJ20" s="1147"/>
      <c r="AK20" s="1146"/>
      <c r="AN20" s="379"/>
      <c r="AO20" s="379"/>
      <c r="AP20" s="379"/>
      <c r="AQ20" s="379"/>
      <c r="AR20" s="379"/>
    </row>
    <row r="21" spans="1:44" s="1687" customFormat="1" ht="14.25" hidden="1" customHeight="1">
      <c r="L21" s="1110"/>
      <c r="M21" s="1142"/>
      <c r="N21" s="1142"/>
      <c r="O21" s="1142"/>
      <c r="P21" s="1142"/>
      <c r="Q21" s="1151"/>
      <c r="R21" s="1151"/>
      <c r="S21" s="556"/>
      <c r="AC21" s="1146"/>
      <c r="AK21" s="1146"/>
      <c r="AN21" s="379"/>
      <c r="AO21" s="379"/>
      <c r="AP21" s="379"/>
      <c r="AQ21" s="379"/>
      <c r="AR21" s="379"/>
    </row>
    <row r="22" spans="1:44" s="1687" customFormat="1" ht="14.25" hidden="1" customHeight="1">
      <c r="L22" s="1110"/>
      <c r="M22" s="1142"/>
      <c r="N22" s="1142"/>
      <c r="O22" s="1144" t="s">
        <v>344</v>
      </c>
      <c r="P22" s="1142"/>
      <c r="Q22" s="1151"/>
      <c r="R22" s="1151"/>
      <c r="S22" s="556"/>
      <c r="T22" s="929" t="s">
        <v>345</v>
      </c>
      <c r="AA22" s="86" t="s">
        <v>346</v>
      </c>
      <c r="AC22" s="86" t="s">
        <v>347</v>
      </c>
      <c r="AD22" s="929" t="s">
        <v>345</v>
      </c>
      <c r="AI22" s="86" t="s">
        <v>348</v>
      </c>
      <c r="AK22" s="86" t="s">
        <v>347</v>
      </c>
      <c r="AN22" s="379"/>
      <c r="AO22" s="379"/>
      <c r="AP22" s="379"/>
      <c r="AQ22" s="379"/>
      <c r="AR22" s="379"/>
    </row>
    <row r="23" spans="1:44" ht="14.25" hidden="1" customHeight="1">
      <c r="O23" s="1144"/>
    </row>
    <row r="24" spans="1:44" ht="14.25" hidden="1" customHeight="1">
      <c r="O24" s="1144"/>
    </row>
    <row r="25" spans="1:44" ht="14.25" customHeight="1">
      <c r="Q25" s="261"/>
      <c r="R25" s="261"/>
      <c r="S25" s="1059"/>
      <c r="T25" s="246"/>
      <c r="U25" s="246"/>
      <c r="V25" s="377"/>
      <c r="W25" s="377"/>
      <c r="X25" s="377"/>
      <c r="Y25" s="377"/>
      <c r="Z25" s="377"/>
      <c r="AA25" s="377"/>
      <c r="AB25" s="377"/>
      <c r="AC25" s="377"/>
      <c r="AD25" s="377"/>
      <c r="AE25" s="377"/>
      <c r="AF25" s="377"/>
      <c r="AG25" s="377"/>
      <c r="AH25" s="377"/>
      <c r="AI25" s="377"/>
      <c r="AJ25" s="377"/>
      <c r="AK25" s="377"/>
    </row>
    <row r="26" spans="1:44" ht="14.25" customHeight="1">
      <c r="Q26" s="261"/>
      <c r="R26" s="261"/>
      <c r="S26" s="208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88"/>
      <c r="U26" s="2088"/>
      <c r="V26" s="2088"/>
      <c r="W26" s="2088"/>
      <c r="X26" s="2088"/>
      <c r="Y26" s="2088"/>
      <c r="Z26" s="2088"/>
      <c r="AA26" s="2088"/>
      <c r="AB26" s="2088"/>
      <c r="AC26" s="2088"/>
      <c r="AD26" s="2088"/>
      <c r="AE26" s="2088"/>
      <c r="AF26" s="2088"/>
      <c r="AG26" s="2088"/>
      <c r="AH26" s="2088"/>
      <c r="AI26" s="2088"/>
      <c r="AJ26" s="2088"/>
      <c r="AK26" s="1019"/>
    </row>
    <row r="27" spans="1:44" ht="14.25" customHeight="1">
      <c r="Q27" s="261"/>
      <c r="R27" s="261"/>
      <c r="S27" s="2059" t="e">
        <f>IF(org=0,"Не определено",org)</f>
        <v>#REF!</v>
      </c>
      <c r="T27" s="2059"/>
      <c r="U27" s="2059"/>
      <c r="V27" s="2059"/>
      <c r="W27" s="2059"/>
      <c r="X27" s="2059"/>
      <c r="Y27" s="2059"/>
      <c r="Z27" s="2059"/>
      <c r="AA27" s="2059"/>
      <c r="AB27" s="2059"/>
      <c r="AC27" s="2059"/>
      <c r="AD27" s="2059"/>
      <c r="AE27" s="2059"/>
      <c r="AF27" s="2059"/>
      <c r="AG27" s="2059"/>
      <c r="AH27" s="2059"/>
      <c r="AI27" s="2059"/>
      <c r="AJ27" s="2059"/>
      <c r="AK27" s="1019"/>
    </row>
    <row r="28" spans="1:44" ht="14.25" hidden="1" customHeight="1">
      <c r="Q28" s="261"/>
      <c r="R28" s="261"/>
      <c r="S28" s="1059"/>
      <c r="T28" s="246"/>
      <c r="U28" s="246"/>
      <c r="V28" s="203"/>
      <c r="W28" s="203"/>
      <c r="X28" s="203"/>
      <c r="Y28" s="203"/>
      <c r="Z28" s="203"/>
      <c r="AA28" s="203"/>
      <c r="AB28" s="203"/>
      <c r="AC28" s="203"/>
      <c r="AD28" s="203"/>
      <c r="AE28" s="203"/>
      <c r="AF28" s="203"/>
      <c r="AG28" s="203"/>
      <c r="AH28" s="203"/>
      <c r="AI28" s="203"/>
      <c r="AJ28" s="203"/>
      <c r="AK28" s="203"/>
      <c r="AL28" s="377"/>
    </row>
    <row r="29" spans="1:44" s="1692" customFormat="1" ht="25.5" hidden="1" customHeight="1">
      <c r="A29" s="1148"/>
      <c r="B29" s="1148"/>
      <c r="C29" s="1148"/>
      <c r="D29" s="1148"/>
      <c r="E29" s="1148"/>
      <c r="F29" s="1148"/>
      <c r="G29" s="1148"/>
      <c r="H29" s="1148"/>
      <c r="I29" s="1148"/>
      <c r="J29" s="1148"/>
      <c r="K29" s="1148"/>
      <c r="L29" s="1149"/>
      <c r="M29" s="1148"/>
      <c r="N29" s="1148"/>
      <c r="O29" s="1148"/>
      <c r="S29" s="2101" t="s">
        <v>6</v>
      </c>
      <c r="T29" s="2101"/>
      <c r="U29" s="1152"/>
      <c r="V29" s="2103" t="e">
        <f>IF(TITLE_NAME_OR_PR_CHANGE="",IF(TITLE_NAME_OR_PR="","",TITLE_NAME_OR_PR),TITLE_NAME_OR_PR_CHANGE)</f>
        <v>#REF!</v>
      </c>
      <c r="W29" s="2103"/>
      <c r="X29" s="2103"/>
      <c r="Y29" s="2103"/>
      <c r="Z29" s="2103"/>
      <c r="AA29" s="2103"/>
      <c r="AB29" s="2103"/>
      <c r="AC29" s="209"/>
      <c r="AD29" s="2103" t="e">
        <f>IF(TITLE_NAME_OR_PR_CHANGE="",IF(TITLE_NAME_OR_PR="","",TITLE_NAME_OR_PR),TITLE_NAME_OR_PR_CHANGE)</f>
        <v>#REF!</v>
      </c>
      <c r="AE29" s="2103"/>
      <c r="AF29" s="2103"/>
      <c r="AG29" s="2103"/>
      <c r="AH29" s="2103"/>
      <c r="AI29" s="2103"/>
      <c r="AJ29" s="2103"/>
      <c r="AK29" s="209"/>
      <c r="AL29" s="209"/>
      <c r="AM29" s="157"/>
      <c r="AN29" s="252"/>
      <c r="AO29" s="252"/>
      <c r="AP29" s="252"/>
      <c r="AQ29" s="252"/>
      <c r="AR29" s="252"/>
    </row>
    <row r="30" spans="1:44" s="1692" customFormat="1" ht="18.75" hidden="1" customHeight="1">
      <c r="A30" s="1148"/>
      <c r="B30" s="1148"/>
      <c r="C30" s="1148"/>
      <c r="D30" s="1148"/>
      <c r="E30" s="1148"/>
      <c r="F30" s="1148"/>
      <c r="G30" s="1148"/>
      <c r="H30" s="1148"/>
      <c r="I30" s="1148"/>
      <c r="J30" s="1148"/>
      <c r="K30" s="1148"/>
      <c r="L30" s="1149"/>
      <c r="M30" s="1148"/>
      <c r="N30" s="1148"/>
      <c r="O30" s="1148"/>
      <c r="S30" s="2101" t="s">
        <v>349</v>
      </c>
      <c r="T30" s="2101"/>
      <c r="U30" s="1152"/>
      <c r="V30" s="2102" t="e">
        <f>IF(TITLE_DATE_PR_CHANGE="",IF(TITLE_DATE_PR="","",TITLE_DATE_PR),TITLE_DATE_PR_CHANGE)</f>
        <v>#REF!</v>
      </c>
      <c r="W30" s="2102"/>
      <c r="X30" s="2102"/>
      <c r="Y30" s="2102"/>
      <c r="Z30" s="2102"/>
      <c r="AA30" s="2102"/>
      <c r="AB30" s="2102"/>
      <c r="AC30" s="209"/>
      <c r="AD30" s="2102" t="e">
        <f>IF(TITLE_DATE_PR_CHANGE="",IF(TITLE_DATE_PR="","",TITLE_DATE_PR),TITLE_DATE_PR_CHANGE)</f>
        <v>#REF!</v>
      </c>
      <c r="AE30" s="2102"/>
      <c r="AF30" s="2102"/>
      <c r="AG30" s="2102"/>
      <c r="AH30" s="2102"/>
      <c r="AI30" s="2102"/>
      <c r="AJ30" s="2102"/>
      <c r="AK30" s="209"/>
      <c r="AL30" s="209"/>
      <c r="AM30" s="157"/>
      <c r="AN30" s="252"/>
      <c r="AO30" s="252"/>
      <c r="AP30" s="252"/>
      <c r="AQ30" s="252"/>
      <c r="AR30" s="252"/>
    </row>
    <row r="31" spans="1:44" s="1692" customFormat="1" ht="18.75" hidden="1" customHeight="1">
      <c r="A31" s="1148"/>
      <c r="B31" s="1148"/>
      <c r="C31" s="1148"/>
      <c r="D31" s="1148"/>
      <c r="E31" s="1148"/>
      <c r="F31" s="1148"/>
      <c r="G31" s="1148"/>
      <c r="H31" s="1148"/>
      <c r="I31" s="1148"/>
      <c r="J31" s="1148"/>
      <c r="K31" s="1148"/>
      <c r="L31" s="1149"/>
      <c r="M31" s="1148"/>
      <c r="N31" s="1148"/>
      <c r="O31" s="1148"/>
      <c r="S31" s="2101" t="s">
        <v>350</v>
      </c>
      <c r="T31" s="2101"/>
      <c r="U31" s="1152"/>
      <c r="V31" s="2103" t="e">
        <f>IF(TITLE_NUMBER_PR_CHANGE="",IF(TITLE_NUMBER_PR="","",TITLE_NUMBER_PR),TITLE_NUMBER_PR_CHANGE)</f>
        <v>#REF!</v>
      </c>
      <c r="W31" s="2103"/>
      <c r="X31" s="2103"/>
      <c r="Y31" s="2103"/>
      <c r="Z31" s="2103"/>
      <c r="AA31" s="2103"/>
      <c r="AB31" s="2103"/>
      <c r="AC31" s="209"/>
      <c r="AD31" s="2103" t="e">
        <f>IF(TITLE_NUMBER_PR_CHANGE="",IF(TITLE_NUMBER_PR="","",TITLE_NUMBER_PR),TITLE_NUMBER_PR_CHANGE)</f>
        <v>#REF!</v>
      </c>
      <c r="AE31" s="2103"/>
      <c r="AF31" s="2103"/>
      <c r="AG31" s="2103"/>
      <c r="AH31" s="2103"/>
      <c r="AI31" s="2103"/>
      <c r="AJ31" s="2103"/>
      <c r="AK31" s="209"/>
      <c r="AL31" s="209"/>
      <c r="AM31" s="157"/>
      <c r="AN31" s="252"/>
      <c r="AO31" s="252"/>
      <c r="AP31" s="252"/>
      <c r="AQ31" s="252"/>
      <c r="AR31" s="252"/>
    </row>
    <row r="32" spans="1:44" s="1692" customFormat="1" ht="18.75" hidden="1" customHeight="1">
      <c r="A32" s="1148"/>
      <c r="B32" s="1148"/>
      <c r="C32" s="1148"/>
      <c r="D32" s="1148"/>
      <c r="E32" s="1148"/>
      <c r="F32" s="1148"/>
      <c r="G32" s="1148"/>
      <c r="H32" s="1148"/>
      <c r="I32" s="1148"/>
      <c r="J32" s="1148"/>
      <c r="K32" s="1148"/>
      <c r="L32" s="1149"/>
      <c r="M32" s="1148"/>
      <c r="N32" s="1148"/>
      <c r="O32" s="1148"/>
      <c r="S32" s="2101" t="s">
        <v>7</v>
      </c>
      <c r="T32" s="2101"/>
      <c r="U32" s="1152"/>
      <c r="V32" s="2103" t="e">
        <f>IF(TITLE_IST_PUB_CHANGE="",IF(TITLE_IST_PUB="","",TITLE_IST_PUB),TITLE_IST_PUB_CHANGE)</f>
        <v>#REF!</v>
      </c>
      <c r="W32" s="2103"/>
      <c r="X32" s="2103"/>
      <c r="Y32" s="2103"/>
      <c r="Z32" s="2103"/>
      <c r="AA32" s="2103"/>
      <c r="AB32" s="2103"/>
      <c r="AC32" s="209"/>
      <c r="AD32" s="2103" t="e">
        <f>IF(TITLE_IST_PUB_CHANGE="",IF(TITLE_IST_PUB="","",TITLE_IST_PUB),TITLE_IST_PUB_CHANGE)</f>
        <v>#REF!</v>
      </c>
      <c r="AE32" s="2103"/>
      <c r="AF32" s="2103"/>
      <c r="AG32" s="2103"/>
      <c r="AH32" s="2103"/>
      <c r="AI32" s="2103"/>
      <c r="AJ32" s="2103"/>
      <c r="AK32" s="209"/>
      <c r="AL32" s="209"/>
      <c r="AM32" s="157"/>
      <c r="AN32" s="252"/>
      <c r="AO32" s="252"/>
      <c r="AP32" s="252"/>
      <c r="AQ32" s="252"/>
      <c r="AR32" s="252"/>
    </row>
    <row r="33" spans="1:44" ht="14.25" hidden="1" customHeight="1">
      <c r="Q33" s="261"/>
      <c r="R33" s="261"/>
      <c r="S33" s="1059"/>
      <c r="T33" s="246"/>
      <c r="U33" s="246"/>
      <c r="V33" s="203"/>
      <c r="W33" s="203"/>
      <c r="X33" s="203"/>
      <c r="Y33" s="203"/>
      <c r="Z33" s="203"/>
      <c r="AA33" s="203"/>
      <c r="AB33" s="203"/>
      <c r="AC33" s="203"/>
      <c r="AD33" s="203"/>
      <c r="AE33" s="203"/>
      <c r="AF33" s="203"/>
      <c r="AG33" s="203"/>
      <c r="AH33" s="203"/>
      <c r="AI33" s="203"/>
      <c r="AJ33" s="203"/>
      <c r="AK33" s="203"/>
      <c r="AL33" s="377"/>
    </row>
    <row r="34" spans="1:44" s="1692" customFormat="1" ht="18.75" hidden="1" customHeight="1">
      <c r="A34" s="1148"/>
      <c r="B34" s="1148"/>
      <c r="C34" s="1148"/>
      <c r="D34" s="1148"/>
      <c r="E34" s="1148"/>
      <c r="F34" s="1148"/>
      <c r="G34" s="1148"/>
      <c r="H34" s="1148"/>
      <c r="I34" s="1148"/>
      <c r="J34" s="1148"/>
      <c r="K34" s="1148"/>
      <c r="L34" s="1149"/>
      <c r="M34" s="1148"/>
      <c r="N34" s="1148"/>
      <c r="O34" s="1148"/>
      <c r="S34" s="2101" t="s">
        <v>351</v>
      </c>
      <c r="T34" s="2101"/>
      <c r="U34" s="1152"/>
      <c r="V34" s="2102" t="e">
        <f>IF(TITLE_DATE_PR_CHANGE="",IF(TITLE_DATE_PR="","",TITLE_DATE_PR),TITLE_DATE_PR_CHANGE)</f>
        <v>#REF!</v>
      </c>
      <c r="W34" s="2102"/>
      <c r="X34" s="2102"/>
      <c r="Y34" s="2102"/>
      <c r="Z34" s="2102"/>
      <c r="AA34" s="2102"/>
      <c r="AB34" s="2102"/>
      <c r="AC34" s="209"/>
      <c r="AD34" s="2102" t="e">
        <f>IF(TITLE_DATE_PR_CHANGE="",IF(TITLE_DATE_PR="","",TITLE_DATE_PR),TITLE_DATE_PR_CHANGE)</f>
        <v>#REF!</v>
      </c>
      <c r="AE34" s="2102"/>
      <c r="AF34" s="2102"/>
      <c r="AG34" s="2102"/>
      <c r="AH34" s="2102"/>
      <c r="AI34" s="2102"/>
      <c r="AJ34" s="2102"/>
      <c r="AK34" s="209"/>
      <c r="AL34" s="209"/>
      <c r="AM34" s="157"/>
      <c r="AN34" s="252"/>
      <c r="AO34" s="252"/>
      <c r="AP34" s="252"/>
      <c r="AQ34" s="252"/>
      <c r="AR34" s="252"/>
    </row>
    <row r="35" spans="1:44" s="1692" customFormat="1" ht="18.75" hidden="1" customHeight="1">
      <c r="A35" s="1148"/>
      <c r="B35" s="1148"/>
      <c r="C35" s="1148"/>
      <c r="D35" s="1148"/>
      <c r="E35" s="1148"/>
      <c r="F35" s="1148"/>
      <c r="G35" s="1148"/>
      <c r="H35" s="1148"/>
      <c r="I35" s="1148"/>
      <c r="J35" s="1148"/>
      <c r="K35" s="1148"/>
      <c r="L35" s="1149"/>
      <c r="M35" s="1148"/>
      <c r="N35" s="1148"/>
      <c r="O35" s="1148"/>
      <c r="S35" s="2101" t="s">
        <v>352</v>
      </c>
      <c r="T35" s="2101"/>
      <c r="U35" s="1152"/>
      <c r="V35" s="2103" t="e">
        <f>IF(TITLE_NUMBER_PR_CHANGE="",IF(TITLE_NUMBER_PR="","",TITLE_NUMBER_PR),TITLE_NUMBER_PR_CHANGE)</f>
        <v>#REF!</v>
      </c>
      <c r="W35" s="2103"/>
      <c r="X35" s="2103"/>
      <c r="Y35" s="2103"/>
      <c r="Z35" s="2103"/>
      <c r="AA35" s="2103"/>
      <c r="AB35" s="2103"/>
      <c r="AC35" s="209"/>
      <c r="AD35" s="2103" t="e">
        <f>IF(TITLE_NUMBER_PR_CHANGE="",IF(TITLE_NUMBER_PR="","",TITLE_NUMBER_PR),TITLE_NUMBER_PR_CHANGE)</f>
        <v>#REF!</v>
      </c>
      <c r="AE35" s="2103"/>
      <c r="AF35" s="2103"/>
      <c r="AG35" s="2103"/>
      <c r="AH35" s="2103"/>
      <c r="AI35" s="2103"/>
      <c r="AJ35" s="2103"/>
      <c r="AK35" s="209"/>
      <c r="AL35" s="209"/>
      <c r="AM35" s="157"/>
      <c r="AN35" s="252"/>
      <c r="AO35" s="252"/>
      <c r="AP35" s="252"/>
      <c r="AQ35" s="252"/>
      <c r="AR35" s="252"/>
    </row>
    <row r="36" spans="1:44" s="1692" customFormat="1" ht="0" hidden="1" customHeight="1">
      <c r="A36" s="1148"/>
      <c r="B36" s="1148"/>
      <c r="C36" s="1148"/>
      <c r="D36" s="1148"/>
      <c r="E36" s="1148"/>
      <c r="F36" s="1148"/>
      <c r="G36" s="1148"/>
      <c r="H36" s="1148"/>
      <c r="I36" s="1148"/>
      <c r="J36" s="1148"/>
      <c r="K36" s="1148"/>
      <c r="L36" s="1149"/>
      <c r="M36" s="1148"/>
      <c r="N36" s="1148"/>
      <c r="O36" s="1148"/>
      <c r="S36" s="205"/>
      <c r="T36" s="205"/>
      <c r="U36" s="1121"/>
      <c r="V36" s="209"/>
      <c r="W36" s="209"/>
      <c r="X36" s="209"/>
      <c r="Y36" s="209"/>
      <c r="Z36" s="209"/>
      <c r="AA36" s="209"/>
      <c r="AB36" s="209"/>
      <c r="AC36" s="155" t="s">
        <v>353</v>
      </c>
      <c r="AD36" s="209"/>
      <c r="AE36" s="209"/>
      <c r="AF36" s="209"/>
      <c r="AG36" s="209"/>
      <c r="AH36" s="209"/>
      <c r="AI36" s="209"/>
      <c r="AJ36" s="209"/>
      <c r="AK36" s="155" t="s">
        <v>353</v>
      </c>
      <c r="AN36" s="252"/>
      <c r="AO36" s="252"/>
      <c r="AP36" s="252"/>
      <c r="AQ36" s="252"/>
      <c r="AR36" s="252"/>
    </row>
    <row r="37" spans="1:44" ht="14.25" customHeight="1">
      <c r="Q37" s="261"/>
      <c r="R37" s="261"/>
      <c r="S37" s="1059"/>
      <c r="T37" s="246"/>
      <c r="U37" s="1020"/>
      <c r="V37" s="2123"/>
      <c r="W37" s="2123"/>
      <c r="X37" s="2123"/>
      <c r="Y37" s="2123"/>
      <c r="Z37" s="2123"/>
      <c r="AA37" s="2123"/>
      <c r="AB37" s="2123"/>
      <c r="AC37" s="2123"/>
      <c r="AD37" s="2123"/>
      <c r="AE37" s="2123"/>
      <c r="AF37" s="2123"/>
      <c r="AG37" s="2123"/>
      <c r="AH37" s="2123"/>
      <c r="AI37" s="2123"/>
      <c r="AJ37" s="2123"/>
      <c r="AK37" s="2123"/>
    </row>
    <row r="38" spans="1:44" ht="14.25" customHeight="1">
      <c r="Q38" s="261"/>
      <c r="R38" s="261"/>
      <c r="S38" s="2025" t="s">
        <v>224</v>
      </c>
      <c r="T38" s="2025"/>
      <c r="U38" s="2025"/>
      <c r="V38" s="2025"/>
      <c r="W38" s="2025"/>
      <c r="X38" s="2025"/>
      <c r="Y38" s="2025"/>
      <c r="Z38" s="2025"/>
      <c r="AA38" s="2025"/>
      <c r="AB38" s="2025"/>
      <c r="AC38" s="2025"/>
      <c r="AD38" s="2025"/>
      <c r="AE38" s="2025"/>
      <c r="AF38" s="2025"/>
      <c r="AG38" s="2025"/>
      <c r="AH38" s="2025"/>
      <c r="AI38" s="2025"/>
      <c r="AJ38" s="2025"/>
      <c r="AK38" s="2025"/>
      <c r="AL38" s="2025"/>
      <c r="AM38" s="2025" t="s">
        <v>225</v>
      </c>
    </row>
    <row r="39" spans="1:44" ht="14.25" customHeight="1">
      <c r="Q39" s="261"/>
      <c r="R39" s="261"/>
      <c r="S39" s="2124" t="s">
        <v>22</v>
      </c>
      <c r="T39" s="2068" t="s">
        <v>354</v>
      </c>
      <c r="U39" s="176"/>
      <c r="V39" s="2125" t="s">
        <v>355</v>
      </c>
      <c r="W39" s="2126"/>
      <c r="X39" s="2126"/>
      <c r="Y39" s="2126"/>
      <c r="Z39" s="2126"/>
      <c r="AA39" s="2126"/>
      <c r="AB39" s="2127"/>
      <c r="AC39" s="2128" t="s">
        <v>356</v>
      </c>
      <c r="AD39" s="2125" t="s">
        <v>355</v>
      </c>
      <c r="AE39" s="2126"/>
      <c r="AF39" s="2126"/>
      <c r="AG39" s="2126"/>
      <c r="AH39" s="2126"/>
      <c r="AI39" s="2126"/>
      <c r="AJ39" s="2127"/>
      <c r="AK39" s="2128" t="s">
        <v>357</v>
      </c>
      <c r="AL39" s="2131" t="s">
        <v>358</v>
      </c>
      <c r="AM39" s="2025"/>
    </row>
    <row r="40" spans="1:44" ht="33.75" customHeight="1">
      <c r="Q40" s="261"/>
      <c r="R40" s="261"/>
      <c r="S40" s="2124"/>
      <c r="T40" s="2068"/>
      <c r="U40" s="814"/>
      <c r="V40" s="2036" t="s">
        <v>359</v>
      </c>
      <c r="W40" s="2120" t="s">
        <v>360</v>
      </c>
      <c r="X40" s="1956" t="s">
        <v>361</v>
      </c>
      <c r="Y40" s="1958"/>
      <c r="Z40" s="1956" t="s">
        <v>375</v>
      </c>
      <c r="AA40" s="1957"/>
      <c r="AB40" s="1958"/>
      <c r="AC40" s="2129"/>
      <c r="AD40" s="2036" t="s">
        <v>359</v>
      </c>
      <c r="AE40" s="2120" t="s">
        <v>360</v>
      </c>
      <c r="AF40" s="1956" t="s">
        <v>361</v>
      </c>
      <c r="AG40" s="1958"/>
      <c r="AH40" s="1956" t="s">
        <v>362</v>
      </c>
      <c r="AI40" s="1957"/>
      <c r="AJ40" s="1958"/>
      <c r="AK40" s="2129"/>
      <c r="AL40" s="2132"/>
      <c r="AM40" s="2025"/>
    </row>
    <row r="41" spans="1:44" ht="33.75" customHeight="1">
      <c r="A41" s="1150"/>
      <c r="B41" s="1150" t="s">
        <v>73</v>
      </c>
      <c r="C41" s="1150" t="s">
        <v>74</v>
      </c>
      <c r="D41" s="1150" t="s">
        <v>75</v>
      </c>
      <c r="E41" s="1144" t="s">
        <v>363</v>
      </c>
      <c r="F41" s="1144" t="s">
        <v>364</v>
      </c>
      <c r="G41" s="1144" t="s">
        <v>365</v>
      </c>
      <c r="H41" s="1144" t="s">
        <v>366</v>
      </c>
      <c r="I41" s="1144" t="s">
        <v>367</v>
      </c>
      <c r="J41" s="1144" t="s">
        <v>368</v>
      </c>
      <c r="K41" s="1144" t="s">
        <v>369</v>
      </c>
      <c r="L41" s="1144" t="s">
        <v>344</v>
      </c>
      <c r="Q41" s="261"/>
      <c r="R41" s="261"/>
      <c r="S41" s="2124"/>
      <c r="T41" s="2068"/>
      <c r="U41" s="177"/>
      <c r="V41" s="2093"/>
      <c r="W41" s="2121"/>
      <c r="X41" s="995" t="s">
        <v>370</v>
      </c>
      <c r="Y41" s="995" t="s">
        <v>371</v>
      </c>
      <c r="Z41" s="1119" t="s">
        <v>372</v>
      </c>
      <c r="AA41" s="2073" t="s">
        <v>373</v>
      </c>
      <c r="AB41" s="2087"/>
      <c r="AC41" s="2130"/>
      <c r="AD41" s="2093"/>
      <c r="AE41" s="2121"/>
      <c r="AF41" s="995" t="s">
        <v>370</v>
      </c>
      <c r="AG41" s="995" t="s">
        <v>371</v>
      </c>
      <c r="AH41" s="1119" t="s">
        <v>372</v>
      </c>
      <c r="AI41" s="2073" t="s">
        <v>373</v>
      </c>
      <c r="AJ41" s="2087"/>
      <c r="AK41" s="2130"/>
      <c r="AL41" s="2133"/>
      <c r="AM41" s="2025"/>
    </row>
    <row r="42" spans="1:44" s="1621" customFormat="1" ht="11.25" hidden="1" customHeight="1">
      <c r="A42" s="1150"/>
      <c r="B42" s="1150"/>
      <c r="C42" s="1150"/>
      <c r="D42" s="1150"/>
      <c r="E42" s="1150"/>
      <c r="F42" s="1150"/>
      <c r="G42" s="1150"/>
      <c r="H42" s="1150"/>
      <c r="I42" s="1150"/>
      <c r="J42" s="1150"/>
      <c r="K42" s="1150"/>
      <c r="L42" s="1144"/>
      <c r="M42" s="1142"/>
      <c r="N42" s="1142"/>
      <c r="O42" s="1142"/>
      <c r="P42" s="1022"/>
      <c r="Q42" s="1023"/>
      <c r="R42" s="1038">
        <v>1</v>
      </c>
      <c r="S42" s="1061" t="s">
        <v>43</v>
      </c>
      <c r="T42" s="1039" t="s">
        <v>44</v>
      </c>
      <c r="U42" s="1021" t="str">
        <f ca="1">OFFSET(U42,0,-1)</f>
        <v>2</v>
      </c>
      <c r="V42" s="1116">
        <f ca="1">OFFSET(V42,0,-1)+1</f>
        <v>3</v>
      </c>
      <c r="W42" s="1116"/>
      <c r="X42" s="1116">
        <f ca="1">OFFSET(X42,0,-1)+1</f>
        <v>1</v>
      </c>
      <c r="Y42" s="1116">
        <f ca="1">OFFSET(Y42,0,-1)+1</f>
        <v>2</v>
      </c>
      <c r="Z42" s="1116">
        <f ca="1">OFFSET(Z42,0,-1)+1</f>
        <v>3</v>
      </c>
      <c r="AA42" s="2122">
        <f ca="1">OFFSET(AA42,0,-1)+1</f>
        <v>4</v>
      </c>
      <c r="AB42" s="2122"/>
      <c r="AC42" s="1116">
        <f ca="1">OFFSET(AC42,0,-2)+1</f>
        <v>5</v>
      </c>
      <c r="AD42" s="1116">
        <f ca="1">OFFSET(AD42,0,-1)+1</f>
        <v>6</v>
      </c>
      <c r="AE42" s="1116"/>
      <c r="AF42" s="1116">
        <f ca="1">OFFSET(AF42,0,-1)+1</f>
        <v>1</v>
      </c>
      <c r="AG42" s="1116">
        <f ca="1">OFFSET(AG42,0,-1)+1</f>
        <v>2</v>
      </c>
      <c r="AH42" s="1116">
        <f ca="1">OFFSET(AH42,0,-1)+1</f>
        <v>3</v>
      </c>
      <c r="AI42" s="2122">
        <f ca="1">OFFSET(AI42,0,-1)+1</f>
        <v>4</v>
      </c>
      <c r="AJ42" s="2122"/>
      <c r="AK42" s="1116">
        <f ca="1">OFFSET(AK42,0,-2)+1</f>
        <v>5</v>
      </c>
      <c r="AL42" s="1021">
        <f ca="1">OFFSET(AL42,0,-1)</f>
        <v>5</v>
      </c>
      <c r="AM42" s="1116">
        <f ca="1">OFFSET(AM42,0,-1)+1</f>
        <v>6</v>
      </c>
      <c r="AN42" s="379"/>
      <c r="AO42" s="379"/>
      <c r="AP42" s="379"/>
      <c r="AQ42" s="379"/>
      <c r="AR42" s="379"/>
    </row>
    <row r="43" spans="1:44" ht="21" customHeight="1">
      <c r="A43" s="1143" t="s">
        <v>100</v>
      </c>
      <c r="B43" s="1143"/>
      <c r="C43" s="1143"/>
      <c r="D43" s="1143"/>
      <c r="E43" s="2111">
        <v>1</v>
      </c>
      <c r="F43" s="1143"/>
      <c r="G43" s="1143"/>
      <c r="H43" s="1143"/>
      <c r="I43" s="1143"/>
      <c r="J43" s="1143"/>
      <c r="K43" s="1143"/>
      <c r="L43" s="1144"/>
      <c r="M43" s="1145"/>
      <c r="N43" s="1145"/>
      <c r="O43" s="1145"/>
      <c r="P43" s="242"/>
      <c r="Q43" s="241"/>
      <c r="R43" s="236"/>
      <c r="S43" s="1117">
        <f>INDEX(PT_DIFFERENTIATION_NUM_NTAR,MATCH(A43,PT_DIFFERENTIATION_NTAR_ID,0))</f>
        <v>0</v>
      </c>
      <c r="T43" s="173" t="s">
        <v>61</v>
      </c>
      <c r="U43" s="175"/>
      <c r="V43" s="2104"/>
      <c r="W43" s="2105"/>
      <c r="X43" s="2105"/>
      <c r="Y43" s="2105"/>
      <c r="Z43" s="2105"/>
      <c r="AA43" s="2105"/>
      <c r="AB43" s="2105"/>
      <c r="AC43" s="2106"/>
      <c r="AD43" s="2104" t="str">
        <f>INDEX(PT_DIFFERENTIATION_NTAR,MATCH(A43,PT_DIFFERENTIATION_NTAR_ID,0))</f>
        <v/>
      </c>
      <c r="AE43" s="2105"/>
      <c r="AF43" s="2105"/>
      <c r="AG43" s="2105"/>
      <c r="AH43" s="2105"/>
      <c r="AI43" s="2105"/>
      <c r="AJ43" s="2105"/>
      <c r="AK43" s="2105"/>
      <c r="AL43" s="2106"/>
      <c r="AM43" s="10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68"/>
      <c r="AP43" s="368" t="str">
        <f t="shared" ref="AP43:AP57" si="1">IF(T43="","",T43)</f>
        <v>Наименование тарифа</v>
      </c>
      <c r="AQ43" s="368"/>
      <c r="AR43" s="368"/>
    </row>
    <row r="44" spans="1:44" ht="21" customHeight="1">
      <c r="A44" s="1143" t="s">
        <v>100</v>
      </c>
      <c r="B44" s="1143" t="s">
        <v>101</v>
      </c>
      <c r="C44" s="1143"/>
      <c r="D44" s="1143"/>
      <c r="E44" s="2112"/>
      <c r="F44" s="2111">
        <v>1</v>
      </c>
      <c r="G44" s="1143"/>
      <c r="H44" s="1143"/>
      <c r="I44" s="1143"/>
      <c r="J44" s="1143"/>
      <c r="K44" s="1143"/>
      <c r="L44" s="1144"/>
      <c r="M44" s="1145"/>
      <c r="N44" s="1145"/>
      <c r="O44" s="1145"/>
      <c r="P44" s="1113"/>
      <c r="Q44" s="233"/>
      <c r="R44" s="234"/>
      <c r="S44" s="1117" t="str">
        <f>INDEX(PT_DIFFERENTIATION_NUM_TER,MATCH(B44,PT_DIFFERENTIATION_TER_ID,0))</f>
        <v>.</v>
      </c>
      <c r="T44" s="185" t="s">
        <v>323</v>
      </c>
      <c r="U44" s="175"/>
      <c r="V44" s="2104"/>
      <c r="W44" s="2105"/>
      <c r="X44" s="2105"/>
      <c r="Y44" s="2105"/>
      <c r="Z44" s="2105"/>
      <c r="AA44" s="2105"/>
      <c r="AB44" s="2105"/>
      <c r="AC44" s="2106"/>
      <c r="AD44" s="2104" t="str">
        <f>INDEX(PT_DIFFERENTIATION_TER,MATCH(B44,PT_DIFFERENTIATION_TER_ID,0))</f>
        <v/>
      </c>
      <c r="AE44" s="2105"/>
      <c r="AF44" s="2105"/>
      <c r="AG44" s="2105"/>
      <c r="AH44" s="2105"/>
      <c r="AI44" s="2105"/>
      <c r="AJ44" s="2105"/>
      <c r="AK44" s="2105"/>
      <c r="AL44" s="2106"/>
      <c r="AM44" s="1044" t="s">
        <v>324</v>
      </c>
      <c r="AO44" s="368"/>
      <c r="AP44" s="368" t="str">
        <f t="shared" si="1"/>
        <v>Территория действия тарифа</v>
      </c>
      <c r="AQ44" s="368"/>
      <c r="AR44" s="368"/>
    </row>
    <row r="45" spans="1:44" ht="23.25" customHeight="1">
      <c r="A45" s="1143" t="s">
        <v>100</v>
      </c>
      <c r="B45" s="1143" t="s">
        <v>101</v>
      </c>
      <c r="C45" s="1143" t="s">
        <v>102</v>
      </c>
      <c r="D45" s="1143"/>
      <c r="E45" s="2112"/>
      <c r="F45" s="2112"/>
      <c r="G45" s="2111">
        <v>1</v>
      </c>
      <c r="H45" s="1143"/>
      <c r="I45" s="1143"/>
      <c r="J45" s="1143"/>
      <c r="K45" s="1143"/>
      <c r="L45" s="1144"/>
      <c r="M45" s="1145"/>
      <c r="N45" s="1145"/>
      <c r="O45" s="1145"/>
      <c r="P45" s="235"/>
      <c r="Q45" s="233"/>
      <c r="R45" s="234"/>
      <c r="S45" s="1117" t="str">
        <f>INDEX(PT_DIFFERENTIATION_NUM_CS,MATCH(C45,PT_DIFFERENTIATION_CS_ID,0))</f>
        <v>..</v>
      </c>
      <c r="T45" s="186" t="s">
        <v>325</v>
      </c>
      <c r="U45" s="175"/>
      <c r="V45" s="2104"/>
      <c r="W45" s="2105"/>
      <c r="X45" s="2105"/>
      <c r="Y45" s="2105"/>
      <c r="Z45" s="2105"/>
      <c r="AA45" s="2105"/>
      <c r="AB45" s="2105"/>
      <c r="AC45" s="2106"/>
      <c r="AD45" s="2104" t="str">
        <f>INDEX(PT_DIFFERENTIATION_CS,MATCH(C45,PT_DIFFERENTIATION_CS_ID,0))</f>
        <v/>
      </c>
      <c r="AE45" s="2105"/>
      <c r="AF45" s="2105"/>
      <c r="AG45" s="2105"/>
      <c r="AH45" s="2105"/>
      <c r="AI45" s="2105"/>
      <c r="AJ45" s="2105"/>
      <c r="AK45" s="2105"/>
      <c r="AL45" s="2106"/>
      <c r="AM45" s="1044" t="s">
        <v>326</v>
      </c>
      <c r="AO45" s="368"/>
      <c r="AP45" s="368" t="str">
        <f t="shared" si="1"/>
        <v xml:space="preserve">Наименование системы теплоснабжения </v>
      </c>
      <c r="AQ45" s="368"/>
      <c r="AR45" s="368"/>
    </row>
    <row r="46" spans="1:44" ht="21" customHeight="1">
      <c r="A46" s="1143" t="s">
        <v>100</v>
      </c>
      <c r="B46" s="1143" t="s">
        <v>101</v>
      </c>
      <c r="C46" s="1143" t="s">
        <v>102</v>
      </c>
      <c r="D46" s="1143" t="s">
        <v>103</v>
      </c>
      <c r="E46" s="2112"/>
      <c r="F46" s="2112"/>
      <c r="G46" s="2112"/>
      <c r="H46" s="2111">
        <v>1</v>
      </c>
      <c r="I46" s="1143"/>
      <c r="J46" s="1143"/>
      <c r="K46" s="1143"/>
      <c r="L46" s="1144"/>
      <c r="M46" s="1145"/>
      <c r="N46" s="1145"/>
      <c r="O46" s="1145"/>
      <c r="P46" s="235"/>
      <c r="Q46" s="233"/>
      <c r="R46" s="234"/>
      <c r="S46" s="1117" t="str">
        <f>INDEX(PT_DIFFERENTIATION_NUM_IST_TE,MATCH(D46,PT_DIFFERENTIATION_IST_TE_ID,0))</f>
        <v>...</v>
      </c>
      <c r="T46" s="187" t="s">
        <v>327</v>
      </c>
      <c r="U46" s="175"/>
      <c r="V46" s="2104"/>
      <c r="W46" s="2105"/>
      <c r="X46" s="2105"/>
      <c r="Y46" s="2105"/>
      <c r="Z46" s="2105"/>
      <c r="AA46" s="2105"/>
      <c r="AB46" s="2105"/>
      <c r="AC46" s="2106"/>
      <c r="AD46" s="2104" t="str">
        <f>INDEX(PT_DIFFERENTIATION_IST_TE,MATCH(D46,PT_DIFFERENTIATION_IST_TE_ID,0))</f>
        <v/>
      </c>
      <c r="AE46" s="2105"/>
      <c r="AF46" s="2105"/>
      <c r="AG46" s="2105"/>
      <c r="AH46" s="2105"/>
      <c r="AI46" s="2105"/>
      <c r="AJ46" s="2105"/>
      <c r="AK46" s="2105"/>
      <c r="AL46" s="2106"/>
      <c r="AM46" s="1044" t="s">
        <v>328</v>
      </c>
      <c r="AO46" s="368"/>
      <c r="AP46" s="368" t="str">
        <f t="shared" si="1"/>
        <v xml:space="preserve">Источник тепловой энергии  </v>
      </c>
      <c r="AQ46" s="368"/>
      <c r="AR46" s="368"/>
    </row>
    <row r="47" spans="1:44" ht="47.25" customHeight="1">
      <c r="A47" s="1143" t="s">
        <v>100</v>
      </c>
      <c r="B47" s="1143" t="s">
        <v>101</v>
      </c>
      <c r="C47" s="1143" t="s">
        <v>102</v>
      </c>
      <c r="D47" s="1143" t="s">
        <v>103</v>
      </c>
      <c r="E47" s="2112"/>
      <c r="F47" s="2112"/>
      <c r="G47" s="2112"/>
      <c r="H47" s="2112"/>
      <c r="I47" s="2113" t="str">
        <f>S46&amp;".1"</f>
        <v>....1</v>
      </c>
      <c r="J47" s="1143"/>
      <c r="K47" s="1143"/>
      <c r="L47" s="1144" t="s">
        <v>329</v>
      </c>
      <c r="P47" s="2115">
        <v>1</v>
      </c>
      <c r="Q47" s="1112"/>
      <c r="R47" s="237"/>
      <c r="S47" s="1117" t="str">
        <f>$I47</f>
        <v>....1</v>
      </c>
      <c r="T47" s="161" t="s">
        <v>330</v>
      </c>
      <c r="U47" s="175"/>
      <c r="V47" s="2098"/>
      <c r="W47" s="2099"/>
      <c r="X47" s="2099"/>
      <c r="Y47" s="2099"/>
      <c r="Z47" s="2099"/>
      <c r="AA47" s="2099"/>
      <c r="AB47" s="2099"/>
      <c r="AC47" s="2100"/>
      <c r="AD47" s="2098"/>
      <c r="AE47" s="2099"/>
      <c r="AF47" s="2099"/>
      <c r="AG47" s="2099"/>
      <c r="AH47" s="2099"/>
      <c r="AI47" s="2099"/>
      <c r="AJ47" s="2099"/>
      <c r="AK47" s="2099"/>
      <c r="AL47" s="2100"/>
      <c r="AM47" s="1044" t="s">
        <v>331</v>
      </c>
      <c r="AO47" s="368"/>
      <c r="AP47" s="368" t="str">
        <f t="shared" si="1"/>
        <v>Схема подключения теплопотребляющей установки к коллектору источника тепловой энергии</v>
      </c>
      <c r="AQ47" s="368"/>
      <c r="AR47" s="368"/>
    </row>
    <row r="48" spans="1:44" ht="21" customHeight="1">
      <c r="A48" s="1143" t="s">
        <v>100</v>
      </c>
      <c r="B48" s="1143" t="s">
        <v>101</v>
      </c>
      <c r="C48" s="1143" t="s">
        <v>102</v>
      </c>
      <c r="D48" s="1143" t="s">
        <v>103</v>
      </c>
      <c r="E48" s="2112"/>
      <c r="F48" s="2112"/>
      <c r="G48" s="2112"/>
      <c r="H48" s="2112"/>
      <c r="I48" s="2114"/>
      <c r="J48" s="2113" t="str">
        <f>I47&amp;".1"</f>
        <v>....1.1</v>
      </c>
      <c r="K48" s="1143"/>
      <c r="L48" s="1144" t="s">
        <v>332</v>
      </c>
      <c r="P48" s="2115"/>
      <c r="Q48" s="2115">
        <v>1</v>
      </c>
      <c r="R48" s="238"/>
      <c r="S48" s="1117" t="str">
        <f>$J48</f>
        <v>....1.1</v>
      </c>
      <c r="T48" s="162" t="s">
        <v>333</v>
      </c>
      <c r="U48" s="175"/>
      <c r="V48" s="2098"/>
      <c r="W48" s="2099"/>
      <c r="X48" s="2099"/>
      <c r="Y48" s="2099"/>
      <c r="Z48" s="2099"/>
      <c r="AA48" s="2099"/>
      <c r="AB48" s="2099"/>
      <c r="AC48" s="2100"/>
      <c r="AD48" s="2098"/>
      <c r="AE48" s="2099"/>
      <c r="AF48" s="2099"/>
      <c r="AG48" s="2099"/>
      <c r="AH48" s="2099"/>
      <c r="AI48" s="2099"/>
      <c r="AJ48" s="2099"/>
      <c r="AK48" s="2099"/>
      <c r="AL48" s="2100"/>
      <c r="AM48" s="1044" t="s">
        <v>334</v>
      </c>
      <c r="AO48" s="368"/>
      <c r="AP48" s="368" t="str">
        <f t="shared" si="1"/>
        <v>Группа потребителей</v>
      </c>
      <c r="AQ48" s="368"/>
      <c r="AR48" s="368"/>
    </row>
    <row r="49" spans="1:44" ht="21" customHeight="1">
      <c r="A49" s="1143" t="s">
        <v>100</v>
      </c>
      <c r="B49" s="1143" t="s">
        <v>101</v>
      </c>
      <c r="C49" s="1143" t="s">
        <v>102</v>
      </c>
      <c r="D49" s="1143" t="s">
        <v>103</v>
      </c>
      <c r="E49" s="2112"/>
      <c r="F49" s="2112"/>
      <c r="G49" s="2112"/>
      <c r="H49" s="2112"/>
      <c r="I49" s="2114"/>
      <c r="J49" s="2114"/>
      <c r="K49" s="2113" t="str">
        <f>J48&amp;".1"</f>
        <v>....1.1.1</v>
      </c>
      <c r="L49" s="1144" t="s">
        <v>335</v>
      </c>
      <c r="P49" s="2115"/>
      <c r="Q49" s="2115"/>
      <c r="R49" s="238">
        <v>1</v>
      </c>
      <c r="S49" s="1117" t="str">
        <f>$K49</f>
        <v>....1.1.1</v>
      </c>
      <c r="T49" s="1128"/>
      <c r="U49" s="175"/>
      <c r="V49" s="576"/>
      <c r="W49" s="207"/>
      <c r="X49" s="576"/>
      <c r="Y49" s="1043"/>
      <c r="Z49" s="2116"/>
      <c r="AA49" s="2109" t="s">
        <v>16</v>
      </c>
      <c r="AB49" s="2116"/>
      <c r="AC49" s="2109" t="s">
        <v>16</v>
      </c>
      <c r="AD49" s="576"/>
      <c r="AE49" s="207"/>
      <c r="AF49" s="576"/>
      <c r="AG49" s="1043"/>
      <c r="AH49" s="2116"/>
      <c r="AI49" s="2109" t="s">
        <v>16</v>
      </c>
      <c r="AJ49" s="2118"/>
      <c r="AK49" s="2109" t="s">
        <v>16</v>
      </c>
      <c r="AL49" s="1129"/>
      <c r="AM49" s="2134" t="s">
        <v>336</v>
      </c>
      <c r="AN49" s="379" t="e">
        <f ca="1">STRCHECKDATE(V50:AL50)</f>
        <v>#NAME?</v>
      </c>
      <c r="AO49" s="368"/>
      <c r="AP49" s="368" t="str">
        <f t="shared" si="1"/>
        <v/>
      </c>
      <c r="AQ49" s="368"/>
      <c r="AR49" s="368"/>
    </row>
    <row r="50" spans="1:44" ht="0.75" customHeight="1">
      <c r="A50" s="1143" t="s">
        <v>100</v>
      </c>
      <c r="B50" s="1143" t="s">
        <v>101</v>
      </c>
      <c r="C50" s="1143" t="s">
        <v>102</v>
      </c>
      <c r="D50" s="1143" t="s">
        <v>103</v>
      </c>
      <c r="E50" s="2112"/>
      <c r="F50" s="2112"/>
      <c r="G50" s="2112"/>
      <c r="H50" s="2112"/>
      <c r="I50" s="2114"/>
      <c r="J50" s="2114"/>
      <c r="K50" s="2113"/>
      <c r="L50" s="1144"/>
      <c r="P50" s="2115"/>
      <c r="Q50" s="2115"/>
      <c r="R50" s="238"/>
      <c r="S50" s="1123"/>
      <c r="T50" s="175"/>
      <c r="U50" s="175"/>
      <c r="V50" s="207"/>
      <c r="W50" s="207"/>
      <c r="X50" s="207"/>
      <c r="Y50" s="211" t="str">
        <f>Z49&amp;"-"&amp;AB49</f>
        <v>-</v>
      </c>
      <c r="Z50" s="2117"/>
      <c r="AA50" s="2109"/>
      <c r="AB50" s="2117"/>
      <c r="AC50" s="2109"/>
      <c r="AD50" s="207"/>
      <c r="AE50" s="207"/>
      <c r="AF50" s="207"/>
      <c r="AG50" s="211" t="str">
        <f>AH49&amp;"-"&amp;AJ49</f>
        <v>-</v>
      </c>
      <c r="AH50" s="2117"/>
      <c r="AI50" s="2109"/>
      <c r="AJ50" s="2119"/>
      <c r="AK50" s="2109"/>
      <c r="AL50" s="1130"/>
      <c r="AM50" s="2135"/>
      <c r="AO50" s="368"/>
      <c r="AP50" s="368" t="str">
        <f t="shared" si="1"/>
        <v/>
      </c>
      <c r="AQ50" s="368"/>
      <c r="AR50" s="368"/>
    </row>
    <row r="51" spans="1:44" ht="11.25" customHeight="1">
      <c r="A51" s="1143" t="s">
        <v>100</v>
      </c>
      <c r="B51" s="1143" t="s">
        <v>101</v>
      </c>
      <c r="C51" s="1143" t="s">
        <v>102</v>
      </c>
      <c r="D51" s="1143" t="s">
        <v>103</v>
      </c>
      <c r="E51" s="2112"/>
      <c r="F51" s="2112"/>
      <c r="G51" s="2112"/>
      <c r="H51" s="2112"/>
      <c r="I51" s="2114"/>
      <c r="J51" s="2113"/>
      <c r="K51" s="1143"/>
      <c r="L51" s="1144"/>
      <c r="P51" s="2115"/>
      <c r="Q51" s="2115"/>
      <c r="R51" s="237"/>
      <c r="S51" s="1062"/>
      <c r="T51" s="164" t="s">
        <v>337</v>
      </c>
      <c r="U51" s="251"/>
      <c r="V51" s="251"/>
      <c r="W51" s="251"/>
      <c r="X51" s="251"/>
      <c r="Y51" s="251"/>
      <c r="Z51" s="251"/>
      <c r="AA51" s="251"/>
      <c r="AB51" s="251"/>
      <c r="AC51" s="251"/>
      <c r="AD51" s="251"/>
      <c r="AE51" s="251"/>
      <c r="AF51" s="251"/>
      <c r="AG51" s="251"/>
      <c r="AH51" s="251"/>
      <c r="AI51" s="251"/>
      <c r="AJ51" s="251"/>
      <c r="AK51" s="251"/>
      <c r="AL51" s="206"/>
      <c r="AM51" s="2136"/>
      <c r="AO51" s="368"/>
      <c r="AP51" s="368" t="str">
        <f t="shared" si="1"/>
        <v>Добавить вид теплоносителя (параметры теплоносителя)</v>
      </c>
      <c r="AQ51" s="368"/>
      <c r="AR51" s="368"/>
    </row>
    <row r="52" spans="1:44" ht="11.25" customHeight="1">
      <c r="A52" s="1143" t="s">
        <v>100</v>
      </c>
      <c r="B52" s="1143" t="s">
        <v>101</v>
      </c>
      <c r="C52" s="1143" t="s">
        <v>102</v>
      </c>
      <c r="D52" s="1143" t="s">
        <v>103</v>
      </c>
      <c r="E52" s="2112"/>
      <c r="F52" s="2112"/>
      <c r="G52" s="2112"/>
      <c r="H52" s="2112"/>
      <c r="I52" s="2113"/>
      <c r="J52" s="1143"/>
      <c r="K52" s="1143"/>
      <c r="L52" s="1144"/>
      <c r="P52" s="2115"/>
      <c r="Q52" s="1112"/>
      <c r="R52" s="237"/>
      <c r="S52" s="1062"/>
      <c r="T52" s="163" t="s">
        <v>338</v>
      </c>
      <c r="U52" s="251"/>
      <c r="V52" s="251"/>
      <c r="W52" s="251"/>
      <c r="X52" s="251"/>
      <c r="Y52" s="251"/>
      <c r="Z52" s="251"/>
      <c r="AA52" s="251"/>
      <c r="AB52" s="251"/>
      <c r="AC52" s="250"/>
      <c r="AD52" s="251"/>
      <c r="AE52" s="251"/>
      <c r="AF52" s="251"/>
      <c r="AG52" s="251"/>
      <c r="AH52" s="251"/>
      <c r="AI52" s="251"/>
      <c r="AJ52" s="251"/>
      <c r="AK52" s="250"/>
      <c r="AL52" s="251"/>
      <c r="AM52" s="178"/>
      <c r="AO52" s="368"/>
      <c r="AP52" s="368" t="str">
        <f t="shared" si="1"/>
        <v>Добавить группу потребителей</v>
      </c>
      <c r="AQ52" s="368"/>
      <c r="AR52" s="368"/>
    </row>
    <row r="53" spans="1:44" ht="14.25" customHeight="1">
      <c r="A53" s="1143" t="s">
        <v>100</v>
      </c>
      <c r="B53" s="1143" t="s">
        <v>101</v>
      </c>
      <c r="C53" s="1143" t="s">
        <v>102</v>
      </c>
      <c r="D53" s="1143" t="s">
        <v>103</v>
      </c>
      <c r="E53" s="2112"/>
      <c r="F53" s="2112"/>
      <c r="G53" s="2112"/>
      <c r="H53" s="2111"/>
      <c r="I53" s="1143"/>
      <c r="J53" s="1143"/>
      <c r="K53" s="1143"/>
      <c r="L53" s="1144"/>
      <c r="M53" s="1145"/>
      <c r="N53" s="1145"/>
      <c r="O53" s="395"/>
      <c r="P53" s="241"/>
      <c r="Q53" s="260"/>
      <c r="R53" s="236"/>
      <c r="S53" s="1062"/>
      <c r="T53" s="248" t="s">
        <v>339</v>
      </c>
      <c r="U53" s="251"/>
      <c r="V53" s="251"/>
      <c r="W53" s="251"/>
      <c r="X53" s="251"/>
      <c r="Y53" s="251"/>
      <c r="Z53" s="251"/>
      <c r="AA53" s="251"/>
      <c r="AB53" s="251"/>
      <c r="AC53" s="250"/>
      <c r="AD53" s="251"/>
      <c r="AE53" s="251"/>
      <c r="AF53" s="251"/>
      <c r="AG53" s="251"/>
      <c r="AH53" s="251"/>
      <c r="AI53" s="251"/>
      <c r="AJ53" s="251"/>
      <c r="AK53" s="250"/>
      <c r="AL53" s="251"/>
      <c r="AM53" s="178"/>
      <c r="AO53" s="368"/>
      <c r="AP53" s="368" t="str">
        <f t="shared" si="1"/>
        <v>Добавить схему подключения</v>
      </c>
      <c r="AQ53" s="368"/>
      <c r="AR53" s="368"/>
    </row>
    <row r="54" spans="1:44" s="1686" customFormat="1" ht="0.75" customHeight="1">
      <c r="A54" s="1124" t="s">
        <v>100</v>
      </c>
      <c r="B54" s="1124" t="s">
        <v>101</v>
      </c>
      <c r="C54" s="1124" t="s">
        <v>102</v>
      </c>
      <c r="D54" s="1096"/>
      <c r="E54" s="2112"/>
      <c r="F54" s="2112"/>
      <c r="G54" s="2111"/>
      <c r="H54" s="1096"/>
      <c r="I54" s="1096"/>
      <c r="J54" s="1096"/>
      <c r="K54" s="1096"/>
      <c r="L54" s="1120"/>
      <c r="M54" s="1097"/>
      <c r="N54" s="1097"/>
      <c r="P54" s="1098"/>
      <c r="Q54" s="1099"/>
      <c r="R54" s="1098"/>
      <c r="S54" s="1104"/>
      <c r="T54" s="1107" t="s">
        <v>340</v>
      </c>
      <c r="U54" s="1106"/>
      <c r="V54" s="1106"/>
      <c r="W54" s="1106"/>
      <c r="X54" s="1106"/>
      <c r="Y54" s="1106"/>
      <c r="Z54" s="1106"/>
      <c r="AA54" s="1106"/>
      <c r="AB54" s="1106"/>
      <c r="AC54" s="1106"/>
      <c r="AD54" s="1106"/>
      <c r="AE54" s="1106"/>
      <c r="AF54" s="1106"/>
      <c r="AG54" s="1106"/>
      <c r="AH54" s="1106"/>
      <c r="AI54" s="1106"/>
      <c r="AJ54" s="1106"/>
      <c r="AK54" s="1106"/>
      <c r="AL54" s="1106"/>
      <c r="AM54" s="1106"/>
      <c r="AO54" s="598"/>
      <c r="AP54" s="598" t="str">
        <f t="shared" si="1"/>
        <v>Добавить источник для дифференциации</v>
      </c>
      <c r="AQ54" s="598"/>
      <c r="AR54" s="598"/>
    </row>
    <row r="55" spans="1:44" s="1686" customFormat="1" ht="0.75" customHeight="1">
      <c r="A55" s="1124" t="s">
        <v>100</v>
      </c>
      <c r="B55" s="1124" t="s">
        <v>101</v>
      </c>
      <c r="C55" s="1096"/>
      <c r="D55" s="1096"/>
      <c r="E55" s="2112"/>
      <c r="F55" s="2111"/>
      <c r="G55" s="1096"/>
      <c r="H55" s="1096"/>
      <c r="I55" s="1096"/>
      <c r="J55" s="1096"/>
      <c r="K55" s="1096"/>
      <c r="L55" s="1120"/>
      <c r="M55" s="1103"/>
      <c r="N55" s="1103"/>
      <c r="P55" s="1098"/>
      <c r="Q55" s="1099"/>
      <c r="R55" s="1098"/>
      <c r="S55" s="1104"/>
      <c r="T55" s="1107" t="s">
        <v>341</v>
      </c>
      <c r="U55" s="1106"/>
      <c r="V55" s="1106"/>
      <c r="W55" s="1106"/>
      <c r="X55" s="1106"/>
      <c r="Y55" s="1106"/>
      <c r="Z55" s="1106"/>
      <c r="AA55" s="1106"/>
      <c r="AB55" s="1106"/>
      <c r="AC55" s="1106"/>
      <c r="AD55" s="1106"/>
      <c r="AE55" s="1106"/>
      <c r="AF55" s="1106"/>
      <c r="AG55" s="1106"/>
      <c r="AH55" s="1106"/>
      <c r="AI55" s="1106"/>
      <c r="AJ55" s="1106"/>
      <c r="AK55" s="1106"/>
      <c r="AL55" s="1106"/>
      <c r="AM55" s="1106"/>
      <c r="AO55" s="598"/>
      <c r="AP55" s="598" t="str">
        <f t="shared" si="1"/>
        <v>Добавить централизованную систему для дифференциации</v>
      </c>
      <c r="AQ55" s="598"/>
      <c r="AR55" s="598"/>
    </row>
    <row r="56" spans="1:44" s="1622" customFormat="1" ht="0.75" customHeight="1">
      <c r="A56" s="1124" t="s">
        <v>100</v>
      </c>
      <c r="B56" s="1124"/>
      <c r="C56" s="1124"/>
      <c r="D56" s="1124"/>
      <c r="E56" s="2111"/>
      <c r="F56" s="1124"/>
      <c r="G56" s="1124"/>
      <c r="H56" s="1124"/>
      <c r="I56" s="1124"/>
      <c r="J56" s="1124"/>
      <c r="K56" s="1124"/>
      <c r="L56" s="1127"/>
      <c r="M56" s="1103"/>
      <c r="N56" s="1103"/>
      <c r="O56" s="386"/>
      <c r="P56" s="269"/>
      <c r="Q56" s="1125"/>
      <c r="R56" s="269"/>
      <c r="S56" s="1104"/>
      <c r="T56" s="1107" t="s">
        <v>342</v>
      </c>
      <c r="U56" s="1106"/>
      <c r="V56" s="1106"/>
      <c r="W56" s="1106"/>
      <c r="X56" s="1106"/>
      <c r="Y56" s="1106"/>
      <c r="Z56" s="1106"/>
      <c r="AA56" s="1106"/>
      <c r="AB56" s="1106"/>
      <c r="AC56" s="1106"/>
      <c r="AD56" s="1106"/>
      <c r="AE56" s="1106"/>
      <c r="AF56" s="1106"/>
      <c r="AG56" s="1106"/>
      <c r="AH56" s="1106"/>
      <c r="AI56" s="1106"/>
      <c r="AJ56" s="1106"/>
      <c r="AK56" s="1106"/>
      <c r="AL56" s="1106"/>
      <c r="AM56" s="1106"/>
      <c r="AO56" s="368"/>
      <c r="AP56" s="368" t="str">
        <f t="shared" si="1"/>
        <v>Добавить территорию для дифференциации</v>
      </c>
      <c r="AQ56" s="368"/>
      <c r="AR56" s="368"/>
    </row>
    <row r="57" spans="1:44" s="1686" customFormat="1" ht="0.75" customHeight="1">
      <c r="A57" s="1096"/>
      <c r="B57" s="1096"/>
      <c r="C57" s="1096"/>
      <c r="D57" s="1096"/>
      <c r="E57" s="1124"/>
      <c r="F57" s="1096"/>
      <c r="G57" s="1096"/>
      <c r="H57" s="1096"/>
      <c r="I57" s="1096"/>
      <c r="J57" s="1096"/>
      <c r="K57" s="1096"/>
      <c r="L57" s="1120"/>
      <c r="M57" s="1103"/>
      <c r="N57" s="1103"/>
      <c r="P57" s="1098"/>
      <c r="Q57" s="1099"/>
      <c r="R57" s="1098"/>
      <c r="S57" s="1104"/>
      <c r="T57" s="1107" t="s">
        <v>374</v>
      </c>
      <c r="U57" s="1106"/>
      <c r="V57" s="1106"/>
      <c r="W57" s="1106"/>
      <c r="X57" s="1106"/>
      <c r="Y57" s="1106"/>
      <c r="Z57" s="1106"/>
      <c r="AA57" s="1106"/>
      <c r="AB57" s="1106"/>
      <c r="AC57" s="1106"/>
      <c r="AD57" s="1106"/>
      <c r="AE57" s="1106"/>
      <c r="AF57" s="1106"/>
      <c r="AG57" s="1106"/>
      <c r="AH57" s="1106"/>
      <c r="AI57" s="1106"/>
      <c r="AJ57" s="1106"/>
      <c r="AK57" s="1106"/>
      <c r="AL57" s="1106"/>
      <c r="AM57" s="1106"/>
      <c r="AO57" s="598"/>
      <c r="AP57" s="598" t="str">
        <f t="shared" si="1"/>
        <v>Добавить наименование тарифа</v>
      </c>
      <c r="AQ57" s="598"/>
      <c r="AR57" s="598"/>
    </row>
    <row r="58" spans="1:44" ht="11.25" customHeight="1">
      <c r="M58" s="929"/>
      <c r="N58" s="929"/>
      <c r="O58" s="395"/>
      <c r="P58" s="924"/>
      <c r="Q58" s="924"/>
      <c r="R58" s="924"/>
      <c r="S58" s="924"/>
      <c r="AN58" s="924"/>
      <c r="AO58" s="924"/>
      <c r="AP58" s="924"/>
      <c r="AQ58" s="924"/>
      <c r="AR58" s="924"/>
    </row>
    <row r="59" spans="1:44" ht="27" customHeight="1">
      <c r="O59" s="395"/>
      <c r="S59" s="1031"/>
      <c r="T59" s="2110"/>
      <c r="U59" s="2110"/>
      <c r="V59" s="2110"/>
      <c r="W59" s="2110"/>
      <c r="X59" s="2110"/>
      <c r="Y59" s="2110"/>
      <c r="Z59" s="2110"/>
      <c r="AA59" s="2110"/>
      <c r="AB59" s="2110"/>
      <c r="AC59" s="2110"/>
      <c r="AD59" s="2110"/>
      <c r="AE59" s="2110"/>
      <c r="AF59" s="2110"/>
      <c r="AG59" s="2110"/>
      <c r="AH59" s="2110"/>
      <c r="AI59" s="2110"/>
      <c r="AJ59" s="2110"/>
      <c r="AK59" s="2110"/>
      <c r="AL59" s="2110"/>
      <c r="AM59" s="2110"/>
    </row>
    <row r="60" spans="1:44" ht="62.25" customHeight="1">
      <c r="O60" s="395"/>
      <c r="T60" s="2110"/>
      <c r="U60" s="2110"/>
      <c r="V60" s="2110"/>
      <c r="W60" s="2110"/>
      <c r="X60" s="2110"/>
      <c r="Y60" s="2110"/>
      <c r="Z60" s="2110"/>
      <c r="AA60" s="2110"/>
      <c r="AB60" s="2110"/>
      <c r="AC60" s="2110"/>
      <c r="AD60" s="2110"/>
      <c r="AE60" s="2110"/>
      <c r="AF60" s="2110"/>
      <c r="AG60" s="2110"/>
      <c r="AH60" s="2110"/>
      <c r="AI60" s="2110"/>
      <c r="AJ60" s="2110"/>
      <c r="AK60" s="2110"/>
      <c r="AL60" s="2110"/>
      <c r="AM60" s="2110"/>
    </row>
    <row r="61" spans="1:44" ht="14.25" customHeight="1">
      <c r="O61" s="395"/>
    </row>
    <row r="62" spans="1:44" ht="18" customHeight="1">
      <c r="O62" s="395"/>
      <c r="S62" s="1031"/>
      <c r="T62" s="2110"/>
      <c r="U62" s="2110"/>
      <c r="V62" s="2110"/>
      <c r="W62" s="2110"/>
      <c r="X62" s="2110"/>
      <c r="Y62" s="2110"/>
      <c r="Z62" s="2110"/>
      <c r="AA62" s="2110"/>
      <c r="AB62" s="2110"/>
      <c r="AC62" s="2110"/>
      <c r="AD62" s="2110"/>
      <c r="AE62" s="2110"/>
      <c r="AF62" s="2110"/>
      <c r="AG62" s="2110"/>
      <c r="AH62" s="2110"/>
      <c r="AI62" s="2110"/>
      <c r="AJ62" s="2110"/>
      <c r="AK62" s="2110"/>
      <c r="AL62" s="2110"/>
      <c r="AM62" s="2110"/>
    </row>
    <row r="63" spans="1:44" ht="18" customHeight="1">
      <c r="O63" s="395"/>
      <c r="T63" s="2110"/>
      <c r="U63" s="2110"/>
      <c r="V63" s="2110"/>
      <c r="W63" s="2110"/>
      <c r="X63" s="2110"/>
      <c r="Y63" s="2110"/>
      <c r="Z63" s="2110"/>
      <c r="AA63" s="2110"/>
      <c r="AB63" s="2110"/>
      <c r="AC63" s="2110"/>
      <c r="AD63" s="2110"/>
      <c r="AE63" s="2110"/>
      <c r="AF63" s="2110"/>
      <c r="AG63" s="2110"/>
      <c r="AH63" s="2110"/>
      <c r="AI63" s="2110"/>
      <c r="AJ63" s="2110"/>
      <c r="AK63" s="2110"/>
      <c r="AL63" s="2110"/>
      <c r="AM63" s="2110"/>
    </row>
    <row r="64" spans="1:44" ht="27.75" customHeight="1">
      <c r="O64" s="395"/>
      <c r="S64" s="1031"/>
      <c r="T64" s="2110"/>
      <c r="U64" s="2110"/>
      <c r="V64" s="2110"/>
      <c r="W64" s="2110"/>
      <c r="X64" s="2110"/>
      <c r="Y64" s="2110"/>
      <c r="Z64" s="2110"/>
      <c r="AA64" s="2110"/>
      <c r="AB64" s="2110"/>
      <c r="AC64" s="2110"/>
      <c r="AD64" s="2110"/>
      <c r="AE64" s="2110"/>
      <c r="AF64" s="2110"/>
      <c r="AG64" s="2110"/>
      <c r="AH64" s="2110"/>
      <c r="AI64" s="2110"/>
      <c r="AJ64" s="2110"/>
      <c r="AK64" s="2110"/>
      <c r="AL64" s="2110"/>
      <c r="AM64" s="2110"/>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687" hidden="1"/>
    <col min="2" max="2" width="11" style="1687" hidden="1" customWidth="1"/>
    <col min="3" max="3" width="10.5703125" style="1687" hidden="1"/>
    <col min="4" max="4" width="11.85546875" style="1687" hidden="1" customWidth="1"/>
    <col min="5" max="5" width="10" style="1687" hidden="1" customWidth="1"/>
    <col min="6" max="6" width="8.7109375" style="1687" hidden="1" customWidth="1"/>
    <col min="7" max="7" width="7.5703125" style="1687" hidden="1" customWidth="1"/>
    <col min="8" max="8" width="11.42578125" style="1687" hidden="1" customWidth="1"/>
    <col min="9" max="9" width="12" style="1687" hidden="1" customWidth="1"/>
    <col min="10" max="10" width="9.85546875" style="1687" hidden="1" customWidth="1"/>
    <col min="11" max="11" width="11.42578125" style="1687" hidden="1" customWidth="1"/>
    <col min="12" max="12" width="19.140625" style="1688" hidden="1" customWidth="1"/>
    <col min="13" max="14" width="12.28515625" style="1689" hidden="1" customWidth="1"/>
    <col min="15" max="15" width="23.42578125" style="1689" hidden="1" customWidth="1"/>
    <col min="16" max="16" width="3.7109375" style="1693" customWidth="1"/>
    <col min="17" max="18" width="3.7109375" style="1695" customWidth="1"/>
    <col min="19" max="19" width="12.7109375" style="1696" customWidth="1"/>
    <col min="20" max="20" width="32" style="1661" customWidth="1"/>
    <col min="21" max="21" width="0.7109375" style="1661" hidden="1" customWidth="1"/>
    <col min="22" max="22" width="1.7109375" style="1661" hidden="1" customWidth="1"/>
    <col min="23" max="23" width="24.7109375" style="1661" hidden="1" customWidth="1"/>
    <col min="24" max="25" width="0.140625" style="1661" hidden="1" customWidth="1"/>
    <col min="26" max="26" width="11.7109375" style="1661" hidden="1" customWidth="1"/>
    <col min="27" max="27" width="3.7109375" style="1661" hidden="1" customWidth="1"/>
    <col min="28" max="28" width="11.7109375" style="1661" hidden="1" customWidth="1"/>
    <col min="29" max="29" width="8.5703125" style="1661" hidden="1" customWidth="1"/>
    <col min="30" max="30" width="0.140625" style="1661" customWidth="1"/>
    <col min="31" max="31" width="24.7109375" style="1661" customWidth="1"/>
    <col min="32" max="33" width="0.140625" style="1661" customWidth="1"/>
    <col min="34" max="34" width="11.7109375" style="1661" customWidth="1"/>
    <col min="35" max="35" width="3.7109375" style="1661" customWidth="1"/>
    <col min="36" max="36" width="11.7109375" style="1661" customWidth="1"/>
    <col min="37" max="37" width="8.5703125" style="1661" hidden="1" customWidth="1"/>
    <col min="38" max="38" width="4.7109375" style="1661" customWidth="1"/>
    <col min="39" max="39" width="115.7109375" style="1661" customWidth="1"/>
    <col min="40" max="41" width="10.5703125" style="1622"/>
    <col min="42" max="42" width="11.140625" style="1622" customWidth="1"/>
    <col min="43" max="44" width="10.5703125" style="1622"/>
  </cols>
  <sheetData>
    <row r="1" spans="1:44" ht="14.25" hidden="1" customHeight="1">
      <c r="Y1" s="210"/>
      <c r="Z1" s="210"/>
      <c r="AG1" s="210"/>
      <c r="AH1" s="210"/>
    </row>
    <row r="2" spans="1:44" ht="21" hidden="1" customHeight="1">
      <c r="A2" s="1143"/>
      <c r="B2" s="1143"/>
      <c r="C2" s="1143"/>
      <c r="D2" s="1143"/>
      <c r="E2" s="2111">
        <v>1</v>
      </c>
      <c r="F2" s="1143"/>
      <c r="G2" s="1143"/>
      <c r="H2" s="1143"/>
      <c r="I2" s="1143"/>
      <c r="J2" s="1143"/>
      <c r="K2" s="1143"/>
      <c r="L2" s="1144"/>
      <c r="M2" s="1145"/>
      <c r="N2" s="1145"/>
      <c r="O2" s="1145"/>
      <c r="P2" s="242"/>
      <c r="Q2" s="241"/>
      <c r="R2" s="236"/>
      <c r="S2" s="1117" t="e">
        <f>INDEX(PT_DIFFERENTIATION_NUM_NTAR,MATCH(A2,PT_DIFFERENTIATION_NTAR_ID,0))</f>
        <v>#N/A</v>
      </c>
      <c r="T2" s="173" t="s">
        <v>61</v>
      </c>
      <c r="U2" s="175"/>
      <c r="V2" s="2104"/>
      <c r="W2" s="2105"/>
      <c r="X2" s="2105"/>
      <c r="Y2" s="2105"/>
      <c r="Z2" s="2105"/>
      <c r="AA2" s="2105"/>
      <c r="AB2" s="2105"/>
      <c r="AC2" s="2106"/>
      <c r="AD2" s="2104" t="e">
        <f>INDEX(PT_DIFFERENTIATION_NTAR,MATCH(A2,PT_DIFFERENTIATION_NTAR_ID,0))</f>
        <v>#N/A</v>
      </c>
      <c r="AE2" s="2105"/>
      <c r="AF2" s="2105"/>
      <c r="AG2" s="2105"/>
      <c r="AH2" s="2105"/>
      <c r="AI2" s="2105"/>
      <c r="AJ2" s="2105"/>
      <c r="AK2" s="2105"/>
      <c r="AL2" s="2106"/>
      <c r="AM2" s="1044" t="s">
        <v>322</v>
      </c>
      <c r="AO2" s="368"/>
      <c r="AP2" s="368" t="str">
        <f t="shared" ref="AP2:AP15" si="0">IF(T2="","",T2)</f>
        <v>Наименование тарифа</v>
      </c>
      <c r="AQ2" s="368"/>
      <c r="AR2" s="368"/>
    </row>
    <row r="3" spans="1:44" ht="21" hidden="1" customHeight="1">
      <c r="A3" s="1143"/>
      <c r="B3" s="1143"/>
      <c r="C3" s="1143"/>
      <c r="D3" s="1143"/>
      <c r="E3" s="2112"/>
      <c r="F3" s="2111">
        <v>1</v>
      </c>
      <c r="G3" s="1143"/>
      <c r="H3" s="1143"/>
      <c r="I3" s="1143"/>
      <c r="J3" s="1143"/>
      <c r="K3" s="1143"/>
      <c r="L3" s="1144"/>
      <c r="M3" s="1145"/>
      <c r="N3" s="1145"/>
      <c r="O3" s="1145"/>
      <c r="P3" s="1113"/>
      <c r="Q3" s="233"/>
      <c r="R3" s="234"/>
      <c r="S3" s="1117" t="e">
        <f>INDEX(PT_DIFFERENTIATION_NUM_TER,MATCH(B3,PT_DIFFERENTIATION_TER_ID,0))</f>
        <v>#N/A</v>
      </c>
      <c r="T3" s="185" t="s">
        <v>323</v>
      </c>
      <c r="U3" s="175"/>
      <c r="V3" s="2104"/>
      <c r="W3" s="2105"/>
      <c r="X3" s="2105"/>
      <c r="Y3" s="2105"/>
      <c r="Z3" s="2105"/>
      <c r="AA3" s="2105"/>
      <c r="AB3" s="2105"/>
      <c r="AC3" s="2106"/>
      <c r="AD3" s="2104" t="e">
        <f>INDEX(PT_DIFFERENTIATION_TER,MATCH(B3,PT_DIFFERENTIATION_TER_ID,0))</f>
        <v>#N/A</v>
      </c>
      <c r="AE3" s="2105"/>
      <c r="AF3" s="2105"/>
      <c r="AG3" s="2105"/>
      <c r="AH3" s="2105"/>
      <c r="AI3" s="2105"/>
      <c r="AJ3" s="2105"/>
      <c r="AK3" s="2105"/>
      <c r="AL3" s="2106"/>
      <c r="AM3" s="1044" t="s">
        <v>324</v>
      </c>
      <c r="AO3" s="368"/>
      <c r="AP3" s="368" t="str">
        <f t="shared" si="0"/>
        <v>Территория действия тарифа</v>
      </c>
      <c r="AQ3" s="368"/>
      <c r="AR3" s="368"/>
    </row>
    <row r="4" spans="1:44" ht="23.25" hidden="1" customHeight="1">
      <c r="A4" s="1143"/>
      <c r="B4" s="1143"/>
      <c r="C4" s="1143"/>
      <c r="D4" s="1143"/>
      <c r="E4" s="2112"/>
      <c r="F4" s="2112"/>
      <c r="G4" s="2111">
        <v>1</v>
      </c>
      <c r="H4" s="1143"/>
      <c r="I4" s="1143"/>
      <c r="J4" s="1143"/>
      <c r="K4" s="1143"/>
      <c r="L4" s="1144"/>
      <c r="M4" s="1145"/>
      <c r="N4" s="1145"/>
      <c r="O4" s="1145"/>
      <c r="P4" s="235"/>
      <c r="Q4" s="233"/>
      <c r="R4" s="234"/>
      <c r="S4" s="1117" t="e">
        <f>INDEX(PT_DIFFERENTIATION_NUM_CS,MATCH(C4,PT_DIFFERENTIATION_CS_ID,0))</f>
        <v>#N/A</v>
      </c>
      <c r="T4" s="186" t="s">
        <v>325</v>
      </c>
      <c r="U4" s="175"/>
      <c r="V4" s="2104"/>
      <c r="W4" s="2105"/>
      <c r="X4" s="2105"/>
      <c r="Y4" s="2105"/>
      <c r="Z4" s="2105"/>
      <c r="AA4" s="2105"/>
      <c r="AB4" s="2105"/>
      <c r="AC4" s="2106"/>
      <c r="AD4" s="2104" t="e">
        <f>INDEX(PT_DIFFERENTIATION_CS,MATCH(C4,PT_DIFFERENTIATION_CS_ID,0))</f>
        <v>#N/A</v>
      </c>
      <c r="AE4" s="2105"/>
      <c r="AF4" s="2105"/>
      <c r="AG4" s="2105"/>
      <c r="AH4" s="2105"/>
      <c r="AI4" s="2105"/>
      <c r="AJ4" s="2105"/>
      <c r="AK4" s="2105"/>
      <c r="AL4" s="2106"/>
      <c r="AM4" s="1044" t="s">
        <v>326</v>
      </c>
      <c r="AO4" s="368"/>
      <c r="AP4" s="368" t="str">
        <f t="shared" si="0"/>
        <v xml:space="preserve">Наименование системы теплоснабжения </v>
      </c>
      <c r="AQ4" s="368"/>
      <c r="AR4" s="368"/>
    </row>
    <row r="5" spans="1:44" ht="21" hidden="1" customHeight="1">
      <c r="A5" s="1143"/>
      <c r="B5" s="1143"/>
      <c r="C5" s="1143"/>
      <c r="D5" s="1143"/>
      <c r="E5" s="2112"/>
      <c r="F5" s="2112"/>
      <c r="G5" s="2112"/>
      <c r="H5" s="2111">
        <v>1</v>
      </c>
      <c r="I5" s="1143"/>
      <c r="J5" s="1143"/>
      <c r="K5" s="1143"/>
      <c r="L5" s="1144"/>
      <c r="M5" s="1145"/>
      <c r="N5" s="1145"/>
      <c r="O5" s="1145"/>
      <c r="P5" s="235"/>
      <c r="Q5" s="233"/>
      <c r="R5" s="234"/>
      <c r="S5" s="1117" t="e">
        <f>INDEX(PT_DIFFERENTIATION_NUM_IST_TE,MATCH(D5,PT_DIFFERENTIATION_IST_TE_ID,0))</f>
        <v>#N/A</v>
      </c>
      <c r="T5" s="187" t="s">
        <v>327</v>
      </c>
      <c r="U5" s="175"/>
      <c r="V5" s="2104"/>
      <c r="W5" s="2105"/>
      <c r="X5" s="2105"/>
      <c r="Y5" s="2105"/>
      <c r="Z5" s="2105"/>
      <c r="AA5" s="2105"/>
      <c r="AB5" s="2105"/>
      <c r="AC5" s="2106"/>
      <c r="AD5" s="2104" t="e">
        <f>INDEX(PT_DIFFERENTIATION_IST_TE,MATCH(D5,PT_DIFFERENTIATION_IST_TE_ID,0))</f>
        <v>#N/A</v>
      </c>
      <c r="AE5" s="2105"/>
      <c r="AF5" s="2105"/>
      <c r="AG5" s="2105"/>
      <c r="AH5" s="2105"/>
      <c r="AI5" s="2105"/>
      <c r="AJ5" s="2105"/>
      <c r="AK5" s="2105"/>
      <c r="AL5" s="2106"/>
      <c r="AM5" s="1044" t="s">
        <v>328</v>
      </c>
      <c r="AO5" s="368"/>
      <c r="AP5" s="368" t="str">
        <f t="shared" si="0"/>
        <v xml:space="preserve">Источник тепловой энергии  </v>
      </c>
      <c r="AQ5" s="368"/>
      <c r="AR5" s="368"/>
    </row>
    <row r="6" spans="1:44" ht="47.25" hidden="1" customHeight="1">
      <c r="A6" s="1143"/>
      <c r="B6" s="1143"/>
      <c r="C6" s="1143"/>
      <c r="D6" s="1143"/>
      <c r="E6" s="2112"/>
      <c r="F6" s="2112"/>
      <c r="G6" s="2112"/>
      <c r="H6" s="2112"/>
      <c r="I6" s="2113" t="e">
        <f>S5&amp;".1"</f>
        <v>#N/A</v>
      </c>
      <c r="J6" s="1143"/>
      <c r="K6" s="1143"/>
      <c r="L6" s="1144" t="s">
        <v>329</v>
      </c>
      <c r="M6" s="395"/>
      <c r="P6" s="2115">
        <v>1</v>
      </c>
      <c r="Q6" s="1112"/>
      <c r="R6" s="237"/>
      <c r="S6" s="1117" t="e">
        <f>$I6</f>
        <v>#N/A</v>
      </c>
      <c r="T6" s="161" t="s">
        <v>330</v>
      </c>
      <c r="U6" s="175"/>
      <c r="V6" s="2098"/>
      <c r="W6" s="2099"/>
      <c r="X6" s="2099"/>
      <c r="Y6" s="2099"/>
      <c r="Z6" s="2099"/>
      <c r="AA6" s="2099"/>
      <c r="AB6" s="2099"/>
      <c r="AC6" s="2100"/>
      <c r="AD6" s="2098"/>
      <c r="AE6" s="2099"/>
      <c r="AF6" s="2099"/>
      <c r="AG6" s="2099"/>
      <c r="AH6" s="2099"/>
      <c r="AI6" s="2099"/>
      <c r="AJ6" s="2099"/>
      <c r="AK6" s="2099"/>
      <c r="AL6" s="2100"/>
      <c r="AM6" s="1044" t="s">
        <v>331</v>
      </c>
      <c r="AO6" s="368"/>
      <c r="AP6" s="368" t="str">
        <f t="shared" si="0"/>
        <v>Схема подключения теплопотребляющей установки к коллектору источника тепловой энергии</v>
      </c>
      <c r="AQ6" s="368"/>
      <c r="AR6" s="368"/>
    </row>
    <row r="7" spans="1:44" ht="21" hidden="1" customHeight="1">
      <c r="A7" s="1143"/>
      <c r="B7" s="1143"/>
      <c r="C7" s="1143"/>
      <c r="D7" s="1143"/>
      <c r="E7" s="2112"/>
      <c r="F7" s="2112"/>
      <c r="G7" s="2112"/>
      <c r="H7" s="2112"/>
      <c r="I7" s="2114"/>
      <c r="J7" s="2113" t="e">
        <f>I6&amp;".1"</f>
        <v>#N/A</v>
      </c>
      <c r="K7" s="1143"/>
      <c r="L7" s="1144" t="s">
        <v>332</v>
      </c>
      <c r="M7" s="395"/>
      <c r="N7" s="1146"/>
      <c r="P7" s="2115"/>
      <c r="Q7" s="2115">
        <v>1</v>
      </c>
      <c r="R7" s="238"/>
      <c r="S7" s="1117" t="e">
        <f>$J7</f>
        <v>#N/A</v>
      </c>
      <c r="T7" s="162" t="s">
        <v>333</v>
      </c>
      <c r="U7" s="175"/>
      <c r="V7" s="2098"/>
      <c r="W7" s="2099"/>
      <c r="X7" s="2099"/>
      <c r="Y7" s="2099"/>
      <c r="Z7" s="2099"/>
      <c r="AA7" s="2099"/>
      <c r="AB7" s="2099"/>
      <c r="AC7" s="2100"/>
      <c r="AD7" s="2098"/>
      <c r="AE7" s="2099"/>
      <c r="AF7" s="2099"/>
      <c r="AG7" s="2099"/>
      <c r="AH7" s="2099"/>
      <c r="AI7" s="2099"/>
      <c r="AJ7" s="2099"/>
      <c r="AK7" s="2099"/>
      <c r="AL7" s="2100"/>
      <c r="AM7" s="1044" t="s">
        <v>334</v>
      </c>
      <c r="AO7" s="368"/>
      <c r="AP7" s="368" t="str">
        <f t="shared" si="0"/>
        <v>Группа потребителей</v>
      </c>
      <c r="AQ7" s="368"/>
      <c r="AR7" s="368"/>
    </row>
    <row r="8" spans="1:44" ht="21" hidden="1" customHeight="1">
      <c r="A8" s="1143"/>
      <c r="B8" s="1143"/>
      <c r="C8" s="1143"/>
      <c r="D8" s="1143"/>
      <c r="E8" s="2112"/>
      <c r="F8" s="2112"/>
      <c r="G8" s="2112"/>
      <c r="H8" s="2112"/>
      <c r="I8" s="2114"/>
      <c r="J8" s="2114"/>
      <c r="K8" s="2113" t="e">
        <f>J7&amp;".1"</f>
        <v>#N/A</v>
      </c>
      <c r="L8" s="1144" t="s">
        <v>335</v>
      </c>
      <c r="M8" s="395"/>
      <c r="N8" s="1146"/>
      <c r="O8" s="1146"/>
      <c r="P8" s="2115"/>
      <c r="Q8" s="2115"/>
      <c r="R8" s="238">
        <v>1</v>
      </c>
      <c r="S8" s="1117" t="e">
        <f>$K8</f>
        <v>#N/A</v>
      </c>
      <c r="T8" s="1128"/>
      <c r="U8" s="175"/>
      <c r="V8" s="207"/>
      <c r="W8" s="576"/>
      <c r="X8" s="207"/>
      <c r="Y8" s="274"/>
      <c r="Z8" s="2116"/>
      <c r="AA8" s="2109" t="s">
        <v>16</v>
      </c>
      <c r="AB8" s="2116"/>
      <c r="AC8" s="2109" t="s">
        <v>16</v>
      </c>
      <c r="AD8" s="207"/>
      <c r="AE8" s="576"/>
      <c r="AF8" s="207"/>
      <c r="AG8" s="274"/>
      <c r="AH8" s="2116"/>
      <c r="AI8" s="2109" t="s">
        <v>16</v>
      </c>
      <c r="AJ8" s="2116"/>
      <c r="AK8" s="2109" t="s">
        <v>16</v>
      </c>
      <c r="AL8" s="207"/>
      <c r="AM8" s="2134" t="s">
        <v>336</v>
      </c>
      <c r="AN8" s="379" t="e">
        <f ca="1">STRCHECKDATE(V9:AL9)</f>
        <v>#NAME?</v>
      </c>
      <c r="AO8" s="368"/>
      <c r="AP8" s="368" t="str">
        <f t="shared" si="0"/>
        <v/>
      </c>
      <c r="AQ8" s="368"/>
      <c r="AR8" s="368"/>
    </row>
    <row r="9" spans="1:44" ht="0.75" hidden="1" customHeight="1">
      <c r="A9" s="1143"/>
      <c r="B9" s="1143"/>
      <c r="C9" s="1143"/>
      <c r="D9" s="1143"/>
      <c r="E9" s="2112"/>
      <c r="F9" s="2112"/>
      <c r="G9" s="2112"/>
      <c r="H9" s="2112"/>
      <c r="I9" s="2114"/>
      <c r="J9" s="2114"/>
      <c r="K9" s="2113"/>
      <c r="L9" s="1144"/>
      <c r="M9" s="395"/>
      <c r="N9" s="1146"/>
      <c r="O9" s="1146"/>
      <c r="P9" s="2115"/>
      <c r="Q9" s="2115"/>
      <c r="R9" s="238"/>
      <c r="S9" s="1123"/>
      <c r="T9" s="175"/>
      <c r="U9" s="175"/>
      <c r="V9" s="207"/>
      <c r="W9" s="207"/>
      <c r="X9" s="207"/>
      <c r="Y9" s="211" t="str">
        <f>Z8&amp;"-"&amp;AB8</f>
        <v>-</v>
      </c>
      <c r="Z9" s="2117"/>
      <c r="AA9" s="2109"/>
      <c r="AB9" s="2117"/>
      <c r="AC9" s="2109"/>
      <c r="AD9" s="207"/>
      <c r="AE9" s="207"/>
      <c r="AF9" s="207"/>
      <c r="AG9" s="211" t="str">
        <f>AH8&amp;"-"&amp;AJ8</f>
        <v>-</v>
      </c>
      <c r="AH9" s="2117"/>
      <c r="AI9" s="2109"/>
      <c r="AJ9" s="2117"/>
      <c r="AK9" s="2109"/>
      <c r="AL9" s="207"/>
      <c r="AM9" s="2135"/>
      <c r="AO9" s="368"/>
      <c r="AP9" s="368" t="str">
        <f t="shared" si="0"/>
        <v/>
      </c>
      <c r="AQ9" s="368"/>
      <c r="AR9" s="368"/>
    </row>
    <row r="10" spans="1:44" ht="15" hidden="1" customHeight="1">
      <c r="A10" s="1143"/>
      <c r="B10" s="1143"/>
      <c r="C10" s="1143"/>
      <c r="D10" s="1143"/>
      <c r="E10" s="2112"/>
      <c r="F10" s="2112"/>
      <c r="G10" s="2112"/>
      <c r="H10" s="2112"/>
      <c r="I10" s="2114"/>
      <c r="J10" s="2113"/>
      <c r="K10" s="1143"/>
      <c r="L10" s="1144"/>
      <c r="M10" s="395"/>
      <c r="N10" s="1146"/>
      <c r="P10" s="2115"/>
      <c r="Q10" s="2115"/>
      <c r="R10" s="237"/>
      <c r="S10" s="1062"/>
      <c r="T10" s="164" t="s">
        <v>337</v>
      </c>
      <c r="U10" s="251"/>
      <c r="V10" s="251"/>
      <c r="W10" s="251"/>
      <c r="X10" s="251"/>
      <c r="Y10" s="251"/>
      <c r="Z10" s="251"/>
      <c r="AA10" s="251"/>
      <c r="AB10" s="251"/>
      <c r="AC10" s="251"/>
      <c r="AD10" s="251"/>
      <c r="AE10" s="251"/>
      <c r="AF10" s="251"/>
      <c r="AG10" s="251"/>
      <c r="AH10" s="251"/>
      <c r="AI10" s="251"/>
      <c r="AJ10" s="251"/>
      <c r="AK10" s="251"/>
      <c r="AL10" s="206"/>
      <c r="AM10" s="2136"/>
      <c r="AO10" s="368"/>
      <c r="AP10" s="368" t="str">
        <f t="shared" si="0"/>
        <v>Добавить вид теплоносителя (параметры теплоносителя)</v>
      </c>
      <c r="AQ10" s="368"/>
      <c r="AR10" s="368"/>
    </row>
    <row r="11" spans="1:44" ht="15" hidden="1" customHeight="1">
      <c r="A11" s="1143"/>
      <c r="B11" s="1143"/>
      <c r="C11" s="1143"/>
      <c r="D11" s="1143"/>
      <c r="E11" s="2112"/>
      <c r="F11" s="2112"/>
      <c r="G11" s="2112"/>
      <c r="H11" s="2112"/>
      <c r="I11" s="2113"/>
      <c r="J11" s="1143"/>
      <c r="K11" s="1143"/>
      <c r="L11" s="1144"/>
      <c r="M11" s="395"/>
      <c r="P11" s="2115"/>
      <c r="Q11" s="1112"/>
      <c r="R11" s="237"/>
      <c r="S11" s="1062"/>
      <c r="T11" s="163" t="s">
        <v>338</v>
      </c>
      <c r="U11" s="251"/>
      <c r="V11" s="251"/>
      <c r="W11" s="251"/>
      <c r="X11" s="251"/>
      <c r="Y11" s="251"/>
      <c r="Z11" s="251"/>
      <c r="AA11" s="251"/>
      <c r="AB11" s="251"/>
      <c r="AC11" s="250"/>
      <c r="AD11" s="251"/>
      <c r="AE11" s="251"/>
      <c r="AF11" s="251"/>
      <c r="AG11" s="251"/>
      <c r="AH11" s="251"/>
      <c r="AI11" s="251"/>
      <c r="AJ11" s="251"/>
      <c r="AK11" s="250"/>
      <c r="AL11" s="251"/>
      <c r="AM11" s="178"/>
      <c r="AO11" s="368"/>
      <c r="AP11" s="368" t="str">
        <f t="shared" si="0"/>
        <v>Добавить группу потребителей</v>
      </c>
      <c r="AQ11" s="368"/>
      <c r="AR11" s="368"/>
    </row>
    <row r="12" spans="1:44" ht="14.25" hidden="1" customHeight="1">
      <c r="A12" s="1143"/>
      <c r="B12" s="1143"/>
      <c r="C12" s="1143"/>
      <c r="D12" s="1143"/>
      <c r="E12" s="2112"/>
      <c r="F12" s="2112"/>
      <c r="G12" s="2112"/>
      <c r="H12" s="2111"/>
      <c r="I12" s="1143"/>
      <c r="J12" s="1143"/>
      <c r="K12" s="1143"/>
      <c r="L12" s="1144"/>
      <c r="M12" s="1145"/>
      <c r="N12" s="1145"/>
      <c r="O12" s="395"/>
      <c r="P12" s="241"/>
      <c r="Q12" s="260"/>
      <c r="R12" s="236"/>
      <c r="S12" s="1062"/>
      <c r="T12" s="248" t="s">
        <v>339</v>
      </c>
      <c r="U12" s="251"/>
      <c r="V12" s="251"/>
      <c r="W12" s="251"/>
      <c r="X12" s="251"/>
      <c r="Y12" s="251"/>
      <c r="Z12" s="251"/>
      <c r="AA12" s="251"/>
      <c r="AB12" s="251"/>
      <c r="AC12" s="250"/>
      <c r="AD12" s="251"/>
      <c r="AE12" s="251"/>
      <c r="AF12" s="251"/>
      <c r="AG12" s="251"/>
      <c r="AH12" s="251"/>
      <c r="AI12" s="251"/>
      <c r="AJ12" s="251"/>
      <c r="AK12" s="250"/>
      <c r="AL12" s="251"/>
      <c r="AM12" s="178"/>
      <c r="AO12" s="368"/>
      <c r="AP12" s="368" t="str">
        <f t="shared" si="0"/>
        <v>Добавить схему подключения</v>
      </c>
      <c r="AQ12" s="368"/>
      <c r="AR12" s="368"/>
    </row>
    <row r="13" spans="1:44" s="1686" customFormat="1" ht="0.75" hidden="1" customHeight="1">
      <c r="A13" s="1096"/>
      <c r="B13" s="1096"/>
      <c r="C13" s="1096"/>
      <c r="D13" s="1096"/>
      <c r="E13" s="2112"/>
      <c r="F13" s="2112"/>
      <c r="G13" s="2111"/>
      <c r="H13" s="1096"/>
      <c r="I13" s="1096"/>
      <c r="J13" s="1096"/>
      <c r="K13" s="1096"/>
      <c r="L13" s="1120"/>
      <c r="M13" s="1097"/>
      <c r="N13" s="1097"/>
      <c r="P13" s="1098"/>
      <c r="Q13" s="1099"/>
      <c r="R13" s="1098"/>
      <c r="S13" s="1100"/>
      <c r="T13" s="1101" t="s">
        <v>340</v>
      </c>
      <c r="U13" s="1102"/>
      <c r="V13" s="1102"/>
      <c r="W13" s="1102"/>
      <c r="X13" s="1102"/>
      <c r="Y13" s="1102"/>
      <c r="Z13" s="1102"/>
      <c r="AA13" s="1102"/>
      <c r="AB13" s="1102"/>
      <c r="AC13" s="1102"/>
      <c r="AD13" s="1102"/>
      <c r="AE13" s="1102"/>
      <c r="AF13" s="1102"/>
      <c r="AG13" s="1102"/>
      <c r="AH13" s="1102"/>
      <c r="AI13" s="1102"/>
      <c r="AJ13" s="1102"/>
      <c r="AK13" s="1102"/>
      <c r="AL13" s="1102"/>
      <c r="AM13" s="1102"/>
      <c r="AO13" s="598"/>
      <c r="AP13" s="598" t="str">
        <f t="shared" si="0"/>
        <v>Добавить источник для дифференциации</v>
      </c>
      <c r="AQ13" s="598"/>
      <c r="AR13" s="598"/>
    </row>
    <row r="14" spans="1:44" s="1686" customFormat="1" ht="0.75" hidden="1" customHeight="1">
      <c r="A14" s="1096"/>
      <c r="B14" s="1096"/>
      <c r="C14" s="1096"/>
      <c r="D14" s="1096"/>
      <c r="E14" s="2112"/>
      <c r="F14" s="2111"/>
      <c r="G14" s="1096"/>
      <c r="H14" s="1096"/>
      <c r="I14" s="1096"/>
      <c r="J14" s="1096"/>
      <c r="K14" s="1096"/>
      <c r="L14" s="1120"/>
      <c r="M14" s="1103"/>
      <c r="N14" s="1103"/>
      <c r="P14" s="1098"/>
      <c r="Q14" s="1099"/>
      <c r="R14" s="1098"/>
      <c r="S14" s="1104"/>
      <c r="T14" s="1105" t="s">
        <v>341</v>
      </c>
      <c r="U14" s="1106"/>
      <c r="V14" s="1106"/>
      <c r="W14" s="1106"/>
      <c r="X14" s="1106"/>
      <c r="Y14" s="1106"/>
      <c r="Z14" s="1106"/>
      <c r="AA14" s="1106"/>
      <c r="AB14" s="1106"/>
      <c r="AC14" s="1106"/>
      <c r="AD14" s="1106"/>
      <c r="AE14" s="1106"/>
      <c r="AF14" s="1106"/>
      <c r="AG14" s="1106"/>
      <c r="AH14" s="1106"/>
      <c r="AI14" s="1106"/>
      <c r="AJ14" s="1106"/>
      <c r="AK14" s="1106"/>
      <c r="AL14" s="1106"/>
      <c r="AM14" s="1106"/>
      <c r="AO14" s="598"/>
      <c r="AP14" s="598" t="str">
        <f t="shared" si="0"/>
        <v>Добавить централизованную систему для дифференциации</v>
      </c>
      <c r="AQ14" s="598"/>
      <c r="AR14" s="598"/>
    </row>
    <row r="15" spans="1:44" s="1686" customFormat="1" ht="0.75" hidden="1" customHeight="1">
      <c r="A15" s="1096"/>
      <c r="B15" s="1096"/>
      <c r="C15" s="1096"/>
      <c r="D15" s="1096"/>
      <c r="E15" s="2111"/>
      <c r="F15" s="1096"/>
      <c r="G15" s="1096"/>
      <c r="H15" s="1096"/>
      <c r="I15" s="1096"/>
      <c r="J15" s="1096"/>
      <c r="K15" s="1096"/>
      <c r="L15" s="1120"/>
      <c r="M15" s="1103"/>
      <c r="N15" s="1103"/>
      <c r="P15" s="1098"/>
      <c r="Q15" s="1099"/>
      <c r="R15" s="1098"/>
      <c r="S15" s="1104"/>
      <c r="T15" s="1107" t="s">
        <v>342</v>
      </c>
      <c r="U15" s="1106"/>
      <c r="V15" s="1106"/>
      <c r="W15" s="1106"/>
      <c r="X15" s="1106"/>
      <c r="Y15" s="1106"/>
      <c r="Z15" s="1106"/>
      <c r="AA15" s="1106"/>
      <c r="AB15" s="1106"/>
      <c r="AC15" s="1106"/>
      <c r="AD15" s="1106"/>
      <c r="AE15" s="1106"/>
      <c r="AF15" s="1106"/>
      <c r="AG15" s="1106"/>
      <c r="AH15" s="1106"/>
      <c r="AI15" s="1106"/>
      <c r="AJ15" s="1106"/>
      <c r="AK15" s="1106"/>
      <c r="AL15" s="1106"/>
      <c r="AM15" s="1106"/>
      <c r="AO15" s="598"/>
      <c r="AP15" s="598" t="str">
        <f t="shared" si="0"/>
        <v>Добавить территорию для дифференциации</v>
      </c>
      <c r="AQ15" s="598"/>
      <c r="AR15" s="598"/>
    </row>
    <row r="16" spans="1:44" ht="14.25" hidden="1" customHeight="1">
      <c r="AC16" s="210"/>
      <c r="AK16" s="210"/>
    </row>
    <row r="17" spans="1:44" ht="14.25" hidden="1" customHeight="1">
      <c r="AD17" s="1140"/>
      <c r="AE17" s="1140"/>
      <c r="AF17" s="1140"/>
      <c r="AG17" s="1141"/>
      <c r="AH17" s="2108"/>
      <c r="AI17" s="2107" t="s">
        <v>16</v>
      </c>
      <c r="AJ17" s="2108"/>
      <c r="AK17" s="2107" t="s">
        <v>16</v>
      </c>
    </row>
    <row r="18" spans="1:44" ht="14.25" hidden="1" customHeight="1">
      <c r="AD18" s="1140"/>
      <c r="AE18" s="1140"/>
      <c r="AF18" s="1140"/>
      <c r="AG18" s="211" t="str">
        <f>AH17&amp;"-"&amp;AJ17</f>
        <v>-</v>
      </c>
      <c r="AH18" s="2107"/>
      <c r="AI18" s="2107"/>
      <c r="AJ18" s="2107"/>
      <c r="AK18" s="2107"/>
    </row>
    <row r="19" spans="1:44" ht="14.25" hidden="1" customHeight="1">
      <c r="AK19" s="210"/>
    </row>
    <row r="20" spans="1:44" s="1687" customFormat="1" ht="22.5" hidden="1" customHeight="1">
      <c r="L20" s="1110"/>
      <c r="M20" s="1142"/>
      <c r="N20" s="1142"/>
      <c r="O20" s="1147" t="s">
        <v>343</v>
      </c>
      <c r="P20" s="1142"/>
      <c r="Q20" s="1151"/>
      <c r="R20" s="1151"/>
      <c r="S20" s="556"/>
      <c r="Z20" s="1147"/>
      <c r="AB20" s="1147"/>
      <c r="AC20" s="1146"/>
      <c r="AH20" s="1147"/>
      <c r="AJ20" s="1147"/>
      <c r="AK20" s="1146"/>
      <c r="AN20" s="379"/>
      <c r="AO20" s="379"/>
      <c r="AP20" s="379"/>
      <c r="AQ20" s="379"/>
      <c r="AR20" s="379"/>
    </row>
    <row r="21" spans="1:44" s="1687" customFormat="1" ht="14.25" hidden="1" customHeight="1">
      <c r="L21" s="1110"/>
      <c r="M21" s="1142"/>
      <c r="N21" s="1142"/>
      <c r="O21" s="1142"/>
      <c r="P21" s="1142"/>
      <c r="Q21" s="1151"/>
      <c r="R21" s="1151"/>
      <c r="S21" s="556"/>
      <c r="AC21" s="1146"/>
      <c r="AK21" s="1146"/>
      <c r="AN21" s="379"/>
      <c r="AO21" s="379"/>
      <c r="AP21" s="379"/>
      <c r="AQ21" s="379"/>
      <c r="AR21" s="379"/>
    </row>
    <row r="22" spans="1:44" s="1687" customFormat="1" ht="33.75" hidden="1" customHeight="1">
      <c r="L22" s="1110"/>
      <c r="M22" s="1142"/>
      <c r="N22" s="1142"/>
      <c r="O22" s="1144" t="s">
        <v>344</v>
      </c>
      <c r="P22" s="1142"/>
      <c r="Q22" s="1151"/>
      <c r="R22" s="1151"/>
      <c r="S22" s="556"/>
      <c r="T22" s="929" t="s">
        <v>345</v>
      </c>
      <c r="AA22" s="86" t="s">
        <v>346</v>
      </c>
      <c r="AC22" s="86" t="s">
        <v>347</v>
      </c>
      <c r="AD22" s="929" t="s">
        <v>345</v>
      </c>
      <c r="AI22" s="86" t="s">
        <v>348</v>
      </c>
      <c r="AK22" s="86" t="s">
        <v>347</v>
      </c>
      <c r="AN22" s="379"/>
      <c r="AO22" s="379"/>
      <c r="AP22" s="379"/>
      <c r="AQ22" s="379"/>
      <c r="AR22" s="379"/>
    </row>
    <row r="23" spans="1:44" ht="14.25" hidden="1" customHeight="1">
      <c r="O23" s="1144"/>
    </row>
    <row r="24" spans="1:44" ht="14.25" hidden="1" customHeight="1">
      <c r="O24" s="1144"/>
    </row>
    <row r="25" spans="1:44" ht="14.25" customHeight="1">
      <c r="Q25" s="261"/>
      <c r="R25" s="261"/>
      <c r="S25" s="1059"/>
      <c r="T25" s="246"/>
      <c r="U25" s="246"/>
      <c r="V25" s="377"/>
      <c r="W25" s="377"/>
      <c r="X25" s="377"/>
      <c r="Y25" s="377"/>
      <c r="Z25" s="377"/>
      <c r="AA25" s="377"/>
      <c r="AB25" s="377"/>
      <c r="AC25" s="377"/>
      <c r="AD25" s="377"/>
      <c r="AE25" s="377"/>
      <c r="AF25" s="377"/>
      <c r="AG25" s="377"/>
      <c r="AH25" s="377"/>
      <c r="AI25" s="377"/>
      <c r="AJ25" s="377"/>
      <c r="AK25" s="377"/>
    </row>
    <row r="26" spans="1:44" ht="27.75" customHeight="1">
      <c r="Q26" s="261"/>
      <c r="R26" s="261"/>
      <c r="S26" s="208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88"/>
      <c r="U26" s="2088"/>
      <c r="V26" s="2088"/>
      <c r="W26" s="2088"/>
      <c r="X26" s="2088"/>
      <c r="Y26" s="2088"/>
      <c r="Z26" s="2088"/>
      <c r="AA26" s="2088"/>
      <c r="AB26" s="2088"/>
      <c r="AC26" s="2088"/>
      <c r="AD26" s="2088"/>
      <c r="AE26" s="2088"/>
      <c r="AF26" s="2088"/>
      <c r="AG26" s="2088"/>
      <c r="AH26" s="2088"/>
      <c r="AI26" s="2088"/>
      <c r="AJ26" s="2088"/>
      <c r="AK26" s="1019"/>
    </row>
    <row r="27" spans="1:44" ht="14.25" customHeight="1">
      <c r="Q27" s="261"/>
      <c r="R27" s="261"/>
      <c r="S27" s="2059" t="e">
        <f>IF(org=0,"Не определено",org)</f>
        <v>#REF!</v>
      </c>
      <c r="T27" s="2059"/>
      <c r="U27" s="2059"/>
      <c r="V27" s="2059"/>
      <c r="W27" s="2059"/>
      <c r="X27" s="2059"/>
      <c r="Y27" s="2059"/>
      <c r="Z27" s="2059"/>
      <c r="AA27" s="2059"/>
      <c r="AB27" s="2059"/>
      <c r="AC27" s="2059"/>
      <c r="AD27" s="2059"/>
      <c r="AE27" s="2059"/>
      <c r="AF27" s="2059"/>
      <c r="AG27" s="2059"/>
      <c r="AH27" s="2059"/>
      <c r="AI27" s="2059"/>
      <c r="AJ27" s="2059"/>
      <c r="AK27" s="1019"/>
    </row>
    <row r="28" spans="1:44" ht="14.25" hidden="1" customHeight="1">
      <c r="Q28" s="261"/>
      <c r="R28" s="261"/>
      <c r="S28" s="1059"/>
      <c r="T28" s="246"/>
      <c r="U28" s="246"/>
      <c r="V28" s="203"/>
      <c r="W28" s="203"/>
      <c r="X28" s="203"/>
      <c r="Y28" s="203"/>
      <c r="Z28" s="203"/>
      <c r="AA28" s="203"/>
      <c r="AB28" s="203"/>
      <c r="AC28" s="203"/>
      <c r="AD28" s="203"/>
      <c r="AE28" s="203"/>
      <c r="AF28" s="203"/>
      <c r="AG28" s="203"/>
      <c r="AH28" s="203"/>
      <c r="AI28" s="203"/>
      <c r="AJ28" s="203"/>
      <c r="AK28" s="203"/>
      <c r="AL28" s="377"/>
    </row>
    <row r="29" spans="1:44" s="1692" customFormat="1" ht="25.5" hidden="1" customHeight="1">
      <c r="A29" s="1148"/>
      <c r="B29" s="1148"/>
      <c r="C29" s="1148"/>
      <c r="D29" s="1148"/>
      <c r="E29" s="1148"/>
      <c r="F29" s="1148"/>
      <c r="G29" s="1148"/>
      <c r="H29" s="1148"/>
      <c r="I29" s="1148"/>
      <c r="J29" s="1148"/>
      <c r="K29" s="1148"/>
      <c r="L29" s="1149"/>
      <c r="M29" s="1148"/>
      <c r="N29" s="1148"/>
      <c r="O29" s="1148"/>
      <c r="S29" s="2101" t="s">
        <v>6</v>
      </c>
      <c r="T29" s="2101"/>
      <c r="U29" s="1152"/>
      <c r="V29" s="2103" t="e">
        <f>IF(TITLE_NAME_OR_PR_CHANGE="",IF(TITLE_NAME_OR_PR="","",TITLE_NAME_OR_PR),TITLE_NAME_OR_PR_CHANGE)</f>
        <v>#REF!</v>
      </c>
      <c r="W29" s="2103"/>
      <c r="X29" s="2103"/>
      <c r="Y29" s="2103"/>
      <c r="Z29" s="2103"/>
      <c r="AA29" s="2103"/>
      <c r="AB29" s="2103"/>
      <c r="AC29" s="209"/>
      <c r="AD29" s="2103" t="e">
        <f>IF(TITLE_NAME_OR_PR_CHANGE="",IF(TITLE_NAME_OR_PR="","",TITLE_NAME_OR_PR),TITLE_NAME_OR_PR_CHANGE)</f>
        <v>#REF!</v>
      </c>
      <c r="AE29" s="2103"/>
      <c r="AF29" s="2103"/>
      <c r="AG29" s="2103"/>
      <c r="AH29" s="2103"/>
      <c r="AI29" s="2103"/>
      <c r="AJ29" s="2103"/>
      <c r="AK29" s="209"/>
      <c r="AL29" s="209"/>
      <c r="AM29" s="157"/>
      <c r="AN29" s="252"/>
      <c r="AO29" s="252"/>
      <c r="AP29" s="252"/>
      <c r="AQ29" s="252"/>
      <c r="AR29" s="252"/>
    </row>
    <row r="30" spans="1:44" s="1692" customFormat="1" ht="18.75" hidden="1" customHeight="1">
      <c r="A30" s="1148"/>
      <c r="B30" s="1148"/>
      <c r="C30" s="1148"/>
      <c r="D30" s="1148"/>
      <c r="E30" s="1148"/>
      <c r="F30" s="1148"/>
      <c r="G30" s="1148"/>
      <c r="H30" s="1148"/>
      <c r="I30" s="1148"/>
      <c r="J30" s="1148"/>
      <c r="K30" s="1148"/>
      <c r="L30" s="1149"/>
      <c r="M30" s="1148"/>
      <c r="N30" s="1148"/>
      <c r="O30" s="1148"/>
      <c r="S30" s="2101" t="s">
        <v>349</v>
      </c>
      <c r="T30" s="2101"/>
      <c r="U30" s="1152"/>
      <c r="V30" s="2102" t="e">
        <f>IF(TITLE_DATE_PR_CHANGE="",IF(TITLE_DATE_PR="","",TITLE_DATE_PR),TITLE_DATE_PR_CHANGE)</f>
        <v>#REF!</v>
      </c>
      <c r="W30" s="2102"/>
      <c r="X30" s="2102"/>
      <c r="Y30" s="2102"/>
      <c r="Z30" s="2102"/>
      <c r="AA30" s="2102"/>
      <c r="AB30" s="2102"/>
      <c r="AC30" s="209"/>
      <c r="AD30" s="2102" t="e">
        <f>IF(TITLE_DATE_PR_CHANGE="",IF(TITLE_DATE_PR="","",TITLE_DATE_PR),TITLE_DATE_PR_CHANGE)</f>
        <v>#REF!</v>
      </c>
      <c r="AE30" s="2102"/>
      <c r="AF30" s="2102"/>
      <c r="AG30" s="2102"/>
      <c r="AH30" s="2102"/>
      <c r="AI30" s="2102"/>
      <c r="AJ30" s="2102"/>
      <c r="AK30" s="209"/>
      <c r="AL30" s="209"/>
      <c r="AM30" s="157"/>
      <c r="AN30" s="252"/>
      <c r="AO30" s="252"/>
      <c r="AP30" s="252"/>
      <c r="AQ30" s="252"/>
      <c r="AR30" s="252"/>
    </row>
    <row r="31" spans="1:44" s="1692" customFormat="1" ht="18.75" hidden="1" customHeight="1">
      <c r="A31" s="1148"/>
      <c r="B31" s="1148"/>
      <c r="C31" s="1148"/>
      <c r="D31" s="1148"/>
      <c r="E31" s="1148"/>
      <c r="F31" s="1148"/>
      <c r="G31" s="1148"/>
      <c r="H31" s="1148"/>
      <c r="I31" s="1148"/>
      <c r="J31" s="1148"/>
      <c r="K31" s="1148"/>
      <c r="L31" s="1149"/>
      <c r="M31" s="1148"/>
      <c r="N31" s="1148"/>
      <c r="O31" s="1148"/>
      <c r="S31" s="2101" t="s">
        <v>350</v>
      </c>
      <c r="T31" s="2101"/>
      <c r="U31" s="1152"/>
      <c r="V31" s="2103" t="e">
        <f>IF(TITLE_NUMBER_PR_CHANGE="",IF(TITLE_NUMBER_PR="","",TITLE_NUMBER_PR),TITLE_NUMBER_PR_CHANGE)</f>
        <v>#REF!</v>
      </c>
      <c r="W31" s="2103"/>
      <c r="X31" s="2103"/>
      <c r="Y31" s="2103"/>
      <c r="Z31" s="2103"/>
      <c r="AA31" s="2103"/>
      <c r="AB31" s="2103"/>
      <c r="AC31" s="209"/>
      <c r="AD31" s="2103" t="e">
        <f>IF(TITLE_NUMBER_PR_CHANGE="",IF(TITLE_NUMBER_PR="","",TITLE_NUMBER_PR),TITLE_NUMBER_PR_CHANGE)</f>
        <v>#REF!</v>
      </c>
      <c r="AE31" s="2103"/>
      <c r="AF31" s="2103"/>
      <c r="AG31" s="2103"/>
      <c r="AH31" s="2103"/>
      <c r="AI31" s="2103"/>
      <c r="AJ31" s="2103"/>
      <c r="AK31" s="209"/>
      <c r="AL31" s="209"/>
      <c r="AM31" s="157"/>
      <c r="AN31" s="252"/>
      <c r="AO31" s="252"/>
      <c r="AP31" s="252"/>
      <c r="AQ31" s="252"/>
      <c r="AR31" s="252"/>
    </row>
    <row r="32" spans="1:44" s="1692" customFormat="1" ht="18.75" hidden="1" customHeight="1">
      <c r="A32" s="1148"/>
      <c r="B32" s="1148"/>
      <c r="C32" s="1148"/>
      <c r="D32" s="1148"/>
      <c r="E32" s="1148"/>
      <c r="F32" s="1148"/>
      <c r="G32" s="1148"/>
      <c r="H32" s="1148"/>
      <c r="I32" s="1148"/>
      <c r="J32" s="1148"/>
      <c r="K32" s="1148"/>
      <c r="L32" s="1149"/>
      <c r="M32" s="1148"/>
      <c r="N32" s="1148"/>
      <c r="O32" s="1148"/>
      <c r="S32" s="2101" t="s">
        <v>7</v>
      </c>
      <c r="T32" s="2101"/>
      <c r="U32" s="1152"/>
      <c r="V32" s="2103" t="e">
        <f>IF(TITLE_IST_PUB_CHANGE="",IF(TITLE_IST_PUB="","",TITLE_IST_PUB),TITLE_IST_PUB_CHANGE)</f>
        <v>#REF!</v>
      </c>
      <c r="W32" s="2103"/>
      <c r="X32" s="2103"/>
      <c r="Y32" s="2103"/>
      <c r="Z32" s="2103"/>
      <c r="AA32" s="2103"/>
      <c r="AB32" s="2103"/>
      <c r="AC32" s="209"/>
      <c r="AD32" s="2103" t="e">
        <f>IF(TITLE_IST_PUB_CHANGE="",IF(TITLE_IST_PUB="","",TITLE_IST_PUB),TITLE_IST_PUB_CHANGE)</f>
        <v>#REF!</v>
      </c>
      <c r="AE32" s="2103"/>
      <c r="AF32" s="2103"/>
      <c r="AG32" s="2103"/>
      <c r="AH32" s="2103"/>
      <c r="AI32" s="2103"/>
      <c r="AJ32" s="2103"/>
      <c r="AK32" s="209"/>
      <c r="AL32" s="209"/>
      <c r="AM32" s="157"/>
      <c r="AN32" s="252"/>
      <c r="AO32" s="252"/>
      <c r="AP32" s="252"/>
      <c r="AQ32" s="252"/>
      <c r="AR32" s="252"/>
    </row>
    <row r="33" spans="1:44" ht="14.25" hidden="1" customHeight="1">
      <c r="Q33" s="261"/>
      <c r="R33" s="261"/>
      <c r="S33" s="1059"/>
      <c r="T33" s="246"/>
      <c r="U33" s="246"/>
      <c r="V33" s="203"/>
      <c r="W33" s="203"/>
      <c r="X33" s="203"/>
      <c r="Y33" s="203"/>
      <c r="Z33" s="203"/>
      <c r="AA33" s="203"/>
      <c r="AB33" s="203"/>
      <c r="AC33" s="203"/>
      <c r="AD33" s="203"/>
      <c r="AE33" s="203"/>
      <c r="AF33" s="203"/>
      <c r="AG33" s="203"/>
      <c r="AH33" s="203"/>
      <c r="AI33" s="203"/>
      <c r="AJ33" s="203"/>
      <c r="AK33" s="203"/>
      <c r="AL33" s="377"/>
    </row>
    <row r="34" spans="1:44" s="1692" customFormat="1" ht="18.75" hidden="1" customHeight="1">
      <c r="A34" s="1148"/>
      <c r="B34" s="1148"/>
      <c r="C34" s="1148"/>
      <c r="D34" s="1148"/>
      <c r="E34" s="1148"/>
      <c r="F34" s="1148"/>
      <c r="G34" s="1148"/>
      <c r="H34" s="1148"/>
      <c r="I34" s="1148"/>
      <c r="J34" s="1148"/>
      <c r="K34" s="1148"/>
      <c r="L34" s="1149"/>
      <c r="M34" s="1148"/>
      <c r="N34" s="1148"/>
      <c r="O34" s="1148"/>
      <c r="S34" s="2101" t="s">
        <v>351</v>
      </c>
      <c r="T34" s="2101"/>
      <c r="U34" s="1152"/>
      <c r="V34" s="2102" t="e">
        <f>IF(TITLE_DATE_PR_CHANGE="",IF(TITLE_DATE_PR="","",TITLE_DATE_PR),TITLE_DATE_PR_CHANGE)</f>
        <v>#REF!</v>
      </c>
      <c r="W34" s="2102"/>
      <c r="X34" s="2102"/>
      <c r="Y34" s="2102"/>
      <c r="Z34" s="2102"/>
      <c r="AA34" s="2102"/>
      <c r="AB34" s="2102"/>
      <c r="AC34" s="209"/>
      <c r="AD34" s="2102" t="e">
        <f>IF(TITLE_DATE_PR_CHANGE="",IF(TITLE_DATE_PR="","",TITLE_DATE_PR),TITLE_DATE_PR_CHANGE)</f>
        <v>#REF!</v>
      </c>
      <c r="AE34" s="2102"/>
      <c r="AF34" s="2102"/>
      <c r="AG34" s="2102"/>
      <c r="AH34" s="2102"/>
      <c r="AI34" s="2102"/>
      <c r="AJ34" s="2102"/>
      <c r="AK34" s="209"/>
      <c r="AL34" s="209"/>
      <c r="AM34" s="157"/>
      <c r="AN34" s="252"/>
      <c r="AO34" s="252"/>
      <c r="AP34" s="252"/>
      <c r="AQ34" s="252"/>
      <c r="AR34" s="252"/>
    </row>
    <row r="35" spans="1:44" s="1692" customFormat="1" ht="18.75" hidden="1" customHeight="1">
      <c r="A35" s="1148"/>
      <c r="B35" s="1148"/>
      <c r="C35" s="1148"/>
      <c r="D35" s="1148"/>
      <c r="E35" s="1148"/>
      <c r="F35" s="1148"/>
      <c r="G35" s="1148"/>
      <c r="H35" s="1148"/>
      <c r="I35" s="1148"/>
      <c r="J35" s="1148"/>
      <c r="K35" s="1148"/>
      <c r="L35" s="1149"/>
      <c r="M35" s="1148"/>
      <c r="N35" s="1148"/>
      <c r="O35" s="1148"/>
      <c r="S35" s="2101" t="s">
        <v>352</v>
      </c>
      <c r="T35" s="2101"/>
      <c r="U35" s="1152"/>
      <c r="V35" s="2103" t="e">
        <f>IF(TITLE_NUMBER_PR_CHANGE="",IF(TITLE_NUMBER_PR="","",TITLE_NUMBER_PR),TITLE_NUMBER_PR_CHANGE)</f>
        <v>#REF!</v>
      </c>
      <c r="W35" s="2103"/>
      <c r="X35" s="2103"/>
      <c r="Y35" s="2103"/>
      <c r="Z35" s="2103"/>
      <c r="AA35" s="2103"/>
      <c r="AB35" s="2103"/>
      <c r="AC35" s="209"/>
      <c r="AD35" s="2103" t="e">
        <f>IF(TITLE_NUMBER_PR_CHANGE="",IF(TITLE_NUMBER_PR="","",TITLE_NUMBER_PR),TITLE_NUMBER_PR_CHANGE)</f>
        <v>#REF!</v>
      </c>
      <c r="AE35" s="2103"/>
      <c r="AF35" s="2103"/>
      <c r="AG35" s="2103"/>
      <c r="AH35" s="2103"/>
      <c r="AI35" s="2103"/>
      <c r="AJ35" s="2103"/>
      <c r="AK35" s="209"/>
      <c r="AL35" s="209"/>
      <c r="AM35" s="157"/>
      <c r="AN35" s="252"/>
      <c r="AO35" s="252"/>
      <c r="AP35" s="252"/>
      <c r="AQ35" s="252"/>
      <c r="AR35" s="252"/>
    </row>
    <row r="36" spans="1:44" s="1692" customFormat="1" ht="0" hidden="1" customHeight="1">
      <c r="A36" s="1148"/>
      <c r="B36" s="1148"/>
      <c r="C36" s="1148"/>
      <c r="D36" s="1148"/>
      <c r="E36" s="1148"/>
      <c r="F36" s="1148"/>
      <c r="G36" s="1148"/>
      <c r="H36" s="1148"/>
      <c r="I36" s="1148"/>
      <c r="J36" s="1148"/>
      <c r="K36" s="1148"/>
      <c r="L36" s="1149"/>
      <c r="M36" s="1148"/>
      <c r="N36" s="1148"/>
      <c r="O36" s="1148"/>
      <c r="S36" s="205"/>
      <c r="T36" s="205"/>
      <c r="U36" s="1121"/>
      <c r="V36" s="209"/>
      <c r="W36" s="209"/>
      <c r="X36" s="209"/>
      <c r="Y36" s="209"/>
      <c r="Z36" s="209"/>
      <c r="AA36" s="209"/>
      <c r="AB36" s="209"/>
      <c r="AC36" s="155" t="s">
        <v>353</v>
      </c>
      <c r="AD36" s="209"/>
      <c r="AE36" s="209"/>
      <c r="AF36" s="209"/>
      <c r="AG36" s="209"/>
      <c r="AH36" s="209"/>
      <c r="AI36" s="209"/>
      <c r="AJ36" s="209"/>
      <c r="AK36" s="155" t="s">
        <v>353</v>
      </c>
      <c r="AN36" s="252"/>
      <c r="AO36" s="252"/>
      <c r="AP36" s="252"/>
      <c r="AQ36" s="252"/>
      <c r="AR36" s="252"/>
    </row>
    <row r="37" spans="1:44" ht="14.25" customHeight="1">
      <c r="Q37" s="261"/>
      <c r="R37" s="261"/>
      <c r="S37" s="1059"/>
      <c r="T37" s="246"/>
      <c r="U37" s="1020"/>
      <c r="V37" s="2123"/>
      <c r="W37" s="2123"/>
      <c r="X37" s="2123"/>
      <c r="Y37" s="2123"/>
      <c r="Z37" s="2123"/>
      <c r="AA37" s="2123"/>
      <c r="AB37" s="2123"/>
      <c r="AC37" s="2123"/>
      <c r="AD37" s="2123"/>
      <c r="AE37" s="2123"/>
      <c r="AF37" s="2123"/>
      <c r="AG37" s="2123"/>
      <c r="AH37" s="2123"/>
      <c r="AI37" s="2123"/>
      <c r="AJ37" s="2123"/>
      <c r="AK37" s="2123"/>
    </row>
    <row r="38" spans="1:44" ht="14.25" customHeight="1">
      <c r="Q38" s="261"/>
      <c r="R38" s="261"/>
      <c r="S38" s="2025" t="s">
        <v>224</v>
      </c>
      <c r="T38" s="2025"/>
      <c r="U38" s="2025"/>
      <c r="V38" s="2025"/>
      <c r="W38" s="2025"/>
      <c r="X38" s="2025"/>
      <c r="Y38" s="2025"/>
      <c r="Z38" s="2025"/>
      <c r="AA38" s="2025"/>
      <c r="AB38" s="2025"/>
      <c r="AC38" s="2025"/>
      <c r="AD38" s="2025"/>
      <c r="AE38" s="2025"/>
      <c r="AF38" s="2025"/>
      <c r="AG38" s="2025"/>
      <c r="AH38" s="2025"/>
      <c r="AI38" s="2025"/>
      <c r="AJ38" s="2025"/>
      <c r="AK38" s="2025"/>
      <c r="AL38" s="2025"/>
      <c r="AM38" s="2025" t="s">
        <v>225</v>
      </c>
    </row>
    <row r="39" spans="1:44" ht="14.25" customHeight="1">
      <c r="Q39" s="261"/>
      <c r="R39" s="261"/>
      <c r="S39" s="2124" t="s">
        <v>22</v>
      </c>
      <c r="T39" s="2068" t="s">
        <v>354</v>
      </c>
      <c r="U39" s="176"/>
      <c r="V39" s="2125" t="s">
        <v>355</v>
      </c>
      <c r="W39" s="2126"/>
      <c r="X39" s="2139"/>
      <c r="Y39" s="2139"/>
      <c r="Z39" s="2126"/>
      <c r="AA39" s="2126"/>
      <c r="AB39" s="2127"/>
      <c r="AC39" s="2128" t="s">
        <v>356</v>
      </c>
      <c r="AD39" s="2125" t="s">
        <v>355</v>
      </c>
      <c r="AE39" s="2126"/>
      <c r="AF39" s="2139"/>
      <c r="AG39" s="2139"/>
      <c r="AH39" s="2126"/>
      <c r="AI39" s="2126"/>
      <c r="AJ39" s="2127"/>
      <c r="AK39" s="2128" t="s">
        <v>357</v>
      </c>
      <c r="AL39" s="2131" t="s">
        <v>358</v>
      </c>
      <c r="AM39" s="2025"/>
    </row>
    <row r="40" spans="1:44" ht="23.25" customHeight="1">
      <c r="Q40" s="261"/>
      <c r="R40" s="261"/>
      <c r="S40" s="2124"/>
      <c r="T40" s="2068"/>
      <c r="U40" s="814"/>
      <c r="V40" s="2137" t="s">
        <v>359</v>
      </c>
      <c r="W40" s="2037" t="s">
        <v>360</v>
      </c>
      <c r="X40" s="1156" t="s">
        <v>361</v>
      </c>
      <c r="Y40" s="1156"/>
      <c r="Z40" s="1957" t="s">
        <v>362</v>
      </c>
      <c r="AA40" s="1957"/>
      <c r="AB40" s="1958"/>
      <c r="AC40" s="2129"/>
      <c r="AD40" s="2137" t="s">
        <v>359</v>
      </c>
      <c r="AE40" s="2037" t="s">
        <v>360</v>
      </c>
      <c r="AF40" s="1156" t="s">
        <v>361</v>
      </c>
      <c r="AG40" s="1156"/>
      <c r="AH40" s="1957" t="s">
        <v>362</v>
      </c>
      <c r="AI40" s="1957"/>
      <c r="AJ40" s="1958"/>
      <c r="AK40" s="2129"/>
      <c r="AL40" s="2132"/>
      <c r="AM40" s="2025"/>
    </row>
    <row r="41" spans="1:44" s="1697" customFormat="1" ht="23.25" customHeight="1">
      <c r="A41" s="1150"/>
      <c r="B41" s="1150" t="s">
        <v>73</v>
      </c>
      <c r="C41" s="1150" t="s">
        <v>74</v>
      </c>
      <c r="D41" s="1150" t="s">
        <v>75</v>
      </c>
      <c r="E41" s="1144" t="s">
        <v>363</v>
      </c>
      <c r="F41" s="1144" t="s">
        <v>364</v>
      </c>
      <c r="G41" s="1144" t="s">
        <v>365</v>
      </c>
      <c r="H41" s="1144" t="s">
        <v>366</v>
      </c>
      <c r="I41" s="1144" t="s">
        <v>367</v>
      </c>
      <c r="J41" s="1144" t="s">
        <v>368</v>
      </c>
      <c r="K41" s="1144" t="s">
        <v>369</v>
      </c>
      <c r="L41" s="1144" t="s">
        <v>344</v>
      </c>
      <c r="M41" s="1142"/>
      <c r="N41" s="1142"/>
      <c r="O41" s="1142"/>
      <c r="P41" s="1109"/>
      <c r="Q41" s="261"/>
      <c r="R41" s="261"/>
      <c r="S41" s="2124"/>
      <c r="T41" s="2068"/>
      <c r="U41" s="177"/>
      <c r="V41" s="2138"/>
      <c r="W41" s="2042"/>
      <c r="X41" s="1153" t="s">
        <v>370</v>
      </c>
      <c r="Y41" s="1153" t="s">
        <v>371</v>
      </c>
      <c r="Z41" s="1115" t="s">
        <v>372</v>
      </c>
      <c r="AA41" s="2073" t="s">
        <v>373</v>
      </c>
      <c r="AB41" s="2087"/>
      <c r="AC41" s="2130"/>
      <c r="AD41" s="2138"/>
      <c r="AE41" s="2042"/>
      <c r="AF41" s="1153" t="s">
        <v>370</v>
      </c>
      <c r="AG41" s="1153" t="s">
        <v>371</v>
      </c>
      <c r="AH41" s="1115" t="s">
        <v>372</v>
      </c>
      <c r="AI41" s="2073" t="s">
        <v>373</v>
      </c>
      <c r="AJ41" s="2087"/>
      <c r="AK41" s="2130"/>
      <c r="AL41" s="2133"/>
      <c r="AM41" s="2025"/>
      <c r="AN41" s="379"/>
      <c r="AO41" s="368"/>
      <c r="AP41" s="368"/>
      <c r="AQ41" s="368"/>
      <c r="AR41" s="368"/>
    </row>
    <row r="42" spans="1:44" s="1621" customFormat="1" ht="11.25" hidden="1" customHeight="1">
      <c r="A42" s="1150"/>
      <c r="B42" s="1150"/>
      <c r="C42" s="1150"/>
      <c r="D42" s="1150"/>
      <c r="E42" s="1150"/>
      <c r="F42" s="1150"/>
      <c r="G42" s="1150"/>
      <c r="H42" s="1150"/>
      <c r="I42" s="1150"/>
      <c r="J42" s="1150"/>
      <c r="K42" s="1150"/>
      <c r="L42" s="1144"/>
      <c r="M42" s="1142"/>
      <c r="N42" s="1142"/>
      <c r="O42" s="1142"/>
      <c r="P42" s="1022"/>
      <c r="Q42" s="1023"/>
      <c r="R42" s="1038">
        <v>1</v>
      </c>
      <c r="S42" s="1061" t="s">
        <v>43</v>
      </c>
      <c r="T42" s="1039" t="s">
        <v>44</v>
      </c>
      <c r="U42" s="1021" t="str">
        <f ca="1">OFFSET(U42,0,-1)</f>
        <v>2</v>
      </c>
      <c r="V42" s="1116">
        <f ca="1">OFFSET(V42,0,-1)+1</f>
        <v>3</v>
      </c>
      <c r="W42" s="1116"/>
      <c r="X42" s="1122">
        <f ca="1">OFFSET(X42,0,-1)+1</f>
        <v>1</v>
      </c>
      <c r="Y42" s="1122">
        <f ca="1">OFFSET(Y42,0,-1)+1</f>
        <v>2</v>
      </c>
      <c r="Z42" s="1116">
        <f ca="1">OFFSET(Z42,0,-1)+1</f>
        <v>3</v>
      </c>
      <c r="AA42" s="2122">
        <f ca="1">OFFSET(AA42,0,-1)+1</f>
        <v>4</v>
      </c>
      <c r="AB42" s="2122"/>
      <c r="AC42" s="1116">
        <f ca="1">OFFSET(AC42,0,-2)+1</f>
        <v>5</v>
      </c>
      <c r="AD42" s="1116">
        <f ca="1">OFFSET(AD42,0,-1)+1</f>
        <v>6</v>
      </c>
      <c r="AE42" s="1116"/>
      <c r="AF42" s="1122">
        <f ca="1">OFFSET(AF42,0,-1)+1</f>
        <v>1</v>
      </c>
      <c r="AG42" s="1122">
        <f ca="1">OFFSET(AG42,0,-1)+1</f>
        <v>2</v>
      </c>
      <c r="AH42" s="1116">
        <f ca="1">OFFSET(AH42,0,-1)+1</f>
        <v>3</v>
      </c>
      <c r="AI42" s="2122">
        <f ca="1">OFFSET(AI42,0,-1)+1</f>
        <v>4</v>
      </c>
      <c r="AJ42" s="2122"/>
      <c r="AK42" s="1116">
        <f ca="1">OFFSET(AK42,0,-2)+1</f>
        <v>5</v>
      </c>
      <c r="AL42" s="1021">
        <f ca="1">OFFSET(AL42,0,-1)</f>
        <v>5</v>
      </c>
      <c r="AM42" s="1116">
        <f ca="1">OFFSET(AM42,0,-1)+1</f>
        <v>6</v>
      </c>
      <c r="AN42" s="379"/>
      <c r="AO42" s="379"/>
      <c r="AP42" s="379"/>
      <c r="AQ42" s="379"/>
      <c r="AR42" s="379"/>
    </row>
    <row r="43" spans="1:44" ht="21" customHeight="1">
      <c r="A43" s="1143" t="s">
        <v>130</v>
      </c>
      <c r="B43" s="1143"/>
      <c r="C43" s="1143"/>
      <c r="D43" s="1143"/>
      <c r="E43" s="2111">
        <v>1</v>
      </c>
      <c r="F43" s="1143"/>
      <c r="G43" s="1143"/>
      <c r="H43" s="1143"/>
      <c r="I43" s="1143"/>
      <c r="J43" s="1143"/>
      <c r="K43" s="1143"/>
      <c r="L43" s="1144"/>
      <c r="M43" s="1145"/>
      <c r="N43" s="1145"/>
      <c r="O43" s="1145"/>
      <c r="P43" s="242"/>
      <c r="Q43" s="241"/>
      <c r="R43" s="236"/>
      <c r="S43" s="1117">
        <f>INDEX(PT_DIFFERENTIATION_NUM_NTAR,MATCH(A43,PT_DIFFERENTIATION_NTAR_ID,0))</f>
        <v>0</v>
      </c>
      <c r="T43" s="173" t="s">
        <v>61</v>
      </c>
      <c r="U43" s="175"/>
      <c r="V43" s="2104"/>
      <c r="W43" s="2105"/>
      <c r="X43" s="2105"/>
      <c r="Y43" s="2105"/>
      <c r="Z43" s="2105"/>
      <c r="AA43" s="2105"/>
      <c r="AB43" s="2105"/>
      <c r="AC43" s="2106"/>
      <c r="AD43" s="2104" t="str">
        <f>INDEX(PT_DIFFERENTIATION_NTAR,MATCH(A43,PT_DIFFERENTIATION_NTAR_ID,0))</f>
        <v/>
      </c>
      <c r="AE43" s="2105"/>
      <c r="AF43" s="2105"/>
      <c r="AG43" s="2105"/>
      <c r="AH43" s="2105"/>
      <c r="AI43" s="2105"/>
      <c r="AJ43" s="2105"/>
      <c r="AK43" s="2105"/>
      <c r="AL43" s="2106"/>
      <c r="AM43" s="10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68"/>
      <c r="AP43" s="368" t="str">
        <f t="shared" ref="AP43:AP57" si="1">IF(T43="","",T43)</f>
        <v>Наименование тарифа</v>
      </c>
      <c r="AQ43" s="368"/>
      <c r="AR43" s="368"/>
    </row>
    <row r="44" spans="1:44" ht="21" customHeight="1">
      <c r="A44" s="1143" t="s">
        <v>130</v>
      </c>
      <c r="B44" s="1143" t="s">
        <v>131</v>
      </c>
      <c r="C44" s="1143"/>
      <c r="D44" s="1143"/>
      <c r="E44" s="2112"/>
      <c r="F44" s="2111">
        <v>1</v>
      </c>
      <c r="G44" s="1143"/>
      <c r="H44" s="1143"/>
      <c r="I44" s="1143"/>
      <c r="J44" s="1143"/>
      <c r="K44" s="1143"/>
      <c r="L44" s="1144"/>
      <c r="M44" s="1145"/>
      <c r="N44" s="1145"/>
      <c r="O44" s="1145"/>
      <c r="P44" s="1113"/>
      <c r="Q44" s="233"/>
      <c r="R44" s="234"/>
      <c r="S44" s="1117" t="str">
        <f>INDEX(PT_DIFFERENTIATION_NUM_TER,MATCH(B44,PT_DIFFERENTIATION_TER_ID,0))</f>
        <v>.</v>
      </c>
      <c r="T44" s="185" t="s">
        <v>323</v>
      </c>
      <c r="U44" s="175"/>
      <c r="V44" s="2104"/>
      <c r="W44" s="2105"/>
      <c r="X44" s="2105"/>
      <c r="Y44" s="2105"/>
      <c r="Z44" s="2105"/>
      <c r="AA44" s="2105"/>
      <c r="AB44" s="2105"/>
      <c r="AC44" s="2106"/>
      <c r="AD44" s="2104" t="str">
        <f>INDEX(PT_DIFFERENTIATION_TER,MATCH(B44,PT_DIFFERENTIATION_TER_ID,0))</f>
        <v/>
      </c>
      <c r="AE44" s="2105"/>
      <c r="AF44" s="2105"/>
      <c r="AG44" s="2105"/>
      <c r="AH44" s="2105"/>
      <c r="AI44" s="2105"/>
      <c r="AJ44" s="2105"/>
      <c r="AK44" s="2105"/>
      <c r="AL44" s="2106"/>
      <c r="AM44" s="1044" t="s">
        <v>324</v>
      </c>
      <c r="AO44" s="368"/>
      <c r="AP44" s="368" t="str">
        <f t="shared" si="1"/>
        <v>Территория действия тарифа</v>
      </c>
      <c r="AQ44" s="368"/>
      <c r="AR44" s="368"/>
    </row>
    <row r="45" spans="1:44" ht="23.25" customHeight="1">
      <c r="A45" s="1143" t="s">
        <v>130</v>
      </c>
      <c r="B45" s="1143" t="s">
        <v>131</v>
      </c>
      <c r="C45" s="1143" t="s">
        <v>132</v>
      </c>
      <c r="D45" s="1143"/>
      <c r="E45" s="2112"/>
      <c r="F45" s="2112"/>
      <c r="G45" s="2111">
        <v>1</v>
      </c>
      <c r="H45" s="1143"/>
      <c r="I45" s="1143"/>
      <c r="J45" s="1143"/>
      <c r="K45" s="1143"/>
      <c r="L45" s="1144"/>
      <c r="M45" s="1145"/>
      <c r="N45" s="1145"/>
      <c r="O45" s="1145"/>
      <c r="P45" s="235"/>
      <c r="Q45" s="233"/>
      <c r="R45" s="234"/>
      <c r="S45" s="1117" t="str">
        <f>INDEX(PT_DIFFERENTIATION_NUM_CS,MATCH(C45,PT_DIFFERENTIATION_CS_ID,0))</f>
        <v>..</v>
      </c>
      <c r="T45" s="186" t="s">
        <v>325</v>
      </c>
      <c r="U45" s="175"/>
      <c r="V45" s="2104"/>
      <c r="W45" s="2105"/>
      <c r="X45" s="2105"/>
      <c r="Y45" s="2105"/>
      <c r="Z45" s="2105"/>
      <c r="AA45" s="2105"/>
      <c r="AB45" s="2105"/>
      <c r="AC45" s="2106"/>
      <c r="AD45" s="2104" t="str">
        <f>INDEX(PT_DIFFERENTIATION_CS,MATCH(C45,PT_DIFFERENTIATION_CS_ID,0))</f>
        <v/>
      </c>
      <c r="AE45" s="2105"/>
      <c r="AF45" s="2105"/>
      <c r="AG45" s="2105"/>
      <c r="AH45" s="2105"/>
      <c r="AI45" s="2105"/>
      <c r="AJ45" s="2105"/>
      <c r="AK45" s="2105"/>
      <c r="AL45" s="2106"/>
      <c r="AM45" s="1044" t="s">
        <v>326</v>
      </c>
      <c r="AO45" s="368"/>
      <c r="AP45" s="368" t="str">
        <f t="shared" si="1"/>
        <v xml:space="preserve">Наименование системы теплоснабжения </v>
      </c>
      <c r="AQ45" s="368"/>
      <c r="AR45" s="368"/>
    </row>
    <row r="46" spans="1:44" ht="21" customHeight="1">
      <c r="A46" s="1143" t="s">
        <v>130</v>
      </c>
      <c r="B46" s="1143" t="s">
        <v>131</v>
      </c>
      <c r="C46" s="1143" t="s">
        <v>132</v>
      </c>
      <c r="D46" s="1143" t="s">
        <v>133</v>
      </c>
      <c r="E46" s="2112"/>
      <c r="F46" s="2112"/>
      <c r="G46" s="2112"/>
      <c r="H46" s="2111">
        <v>1</v>
      </c>
      <c r="I46" s="1143"/>
      <c r="J46" s="1143"/>
      <c r="K46" s="1143"/>
      <c r="L46" s="1144"/>
      <c r="M46" s="1145"/>
      <c r="N46" s="1145"/>
      <c r="O46" s="1145"/>
      <c r="P46" s="235"/>
      <c r="Q46" s="233"/>
      <c r="R46" s="234"/>
      <c r="S46" s="1117" t="str">
        <f>INDEX(PT_DIFFERENTIATION_NUM_IST_TE,MATCH(D46,PT_DIFFERENTIATION_IST_TE_ID,0))</f>
        <v>...</v>
      </c>
      <c r="T46" s="187" t="s">
        <v>327</v>
      </c>
      <c r="U46" s="175"/>
      <c r="V46" s="2104"/>
      <c r="W46" s="2105"/>
      <c r="X46" s="2105"/>
      <c r="Y46" s="2105"/>
      <c r="Z46" s="2105"/>
      <c r="AA46" s="2105"/>
      <c r="AB46" s="2105"/>
      <c r="AC46" s="2106"/>
      <c r="AD46" s="2104" t="str">
        <f>INDEX(PT_DIFFERENTIATION_IST_TE,MATCH(D46,PT_DIFFERENTIATION_IST_TE_ID,0))</f>
        <v/>
      </c>
      <c r="AE46" s="2105"/>
      <c r="AF46" s="2105"/>
      <c r="AG46" s="2105"/>
      <c r="AH46" s="2105"/>
      <c r="AI46" s="2105"/>
      <c r="AJ46" s="2105"/>
      <c r="AK46" s="2105"/>
      <c r="AL46" s="2106"/>
      <c r="AM46" s="1044" t="s">
        <v>328</v>
      </c>
      <c r="AO46" s="368"/>
      <c r="AP46" s="368" t="str">
        <f t="shared" si="1"/>
        <v xml:space="preserve">Источник тепловой энергии  </v>
      </c>
      <c r="AQ46" s="368"/>
      <c r="AR46" s="368"/>
    </row>
    <row r="47" spans="1:44" ht="47.25" customHeight="1">
      <c r="A47" s="1143" t="s">
        <v>130</v>
      </c>
      <c r="B47" s="1143" t="s">
        <v>131</v>
      </c>
      <c r="C47" s="1143" t="s">
        <v>132</v>
      </c>
      <c r="D47" s="1143" t="s">
        <v>133</v>
      </c>
      <c r="E47" s="2112"/>
      <c r="F47" s="2112"/>
      <c r="G47" s="2112"/>
      <c r="H47" s="2112"/>
      <c r="I47" s="2113" t="str">
        <f>S46&amp;".1"</f>
        <v>....1</v>
      </c>
      <c r="J47" s="1143"/>
      <c r="K47" s="1143"/>
      <c r="L47" s="1144" t="s">
        <v>329</v>
      </c>
      <c r="P47" s="2115">
        <v>1</v>
      </c>
      <c r="Q47" s="1112"/>
      <c r="R47" s="237"/>
      <c r="S47" s="1117" t="str">
        <f>$I47</f>
        <v>....1</v>
      </c>
      <c r="T47" s="161" t="s">
        <v>330</v>
      </c>
      <c r="U47" s="175"/>
      <c r="V47" s="2098"/>
      <c r="W47" s="2099"/>
      <c r="X47" s="2099"/>
      <c r="Y47" s="2099"/>
      <c r="Z47" s="2099"/>
      <c r="AA47" s="2099"/>
      <c r="AB47" s="2099"/>
      <c r="AC47" s="2100"/>
      <c r="AD47" s="2098"/>
      <c r="AE47" s="2099"/>
      <c r="AF47" s="2099"/>
      <c r="AG47" s="2099"/>
      <c r="AH47" s="2099"/>
      <c r="AI47" s="2099"/>
      <c r="AJ47" s="2099"/>
      <c r="AK47" s="2099"/>
      <c r="AL47" s="2100"/>
      <c r="AM47" s="1044" t="s">
        <v>331</v>
      </c>
      <c r="AO47" s="368"/>
      <c r="AP47" s="368" t="str">
        <f t="shared" si="1"/>
        <v>Схема подключения теплопотребляющей установки к коллектору источника тепловой энергии</v>
      </c>
      <c r="AQ47" s="368"/>
      <c r="AR47" s="368"/>
    </row>
    <row r="48" spans="1:44" ht="21" customHeight="1">
      <c r="A48" s="1143" t="s">
        <v>130</v>
      </c>
      <c r="B48" s="1143" t="s">
        <v>131</v>
      </c>
      <c r="C48" s="1143" t="s">
        <v>132</v>
      </c>
      <c r="D48" s="1143" t="s">
        <v>133</v>
      </c>
      <c r="E48" s="2112"/>
      <c r="F48" s="2112"/>
      <c r="G48" s="2112"/>
      <c r="H48" s="2112"/>
      <c r="I48" s="2114"/>
      <c r="J48" s="2113" t="str">
        <f>I47&amp;".1"</f>
        <v>....1.1</v>
      </c>
      <c r="K48" s="1143"/>
      <c r="L48" s="1144" t="s">
        <v>332</v>
      </c>
      <c r="P48" s="2115"/>
      <c r="Q48" s="2115">
        <v>1</v>
      </c>
      <c r="R48" s="238"/>
      <c r="S48" s="1117" t="str">
        <f>$J48</f>
        <v>....1.1</v>
      </c>
      <c r="T48" s="162" t="s">
        <v>333</v>
      </c>
      <c r="U48" s="175"/>
      <c r="V48" s="2098"/>
      <c r="W48" s="2099"/>
      <c r="X48" s="2099"/>
      <c r="Y48" s="2099"/>
      <c r="Z48" s="2099"/>
      <c r="AA48" s="2099"/>
      <c r="AB48" s="2099"/>
      <c r="AC48" s="2100"/>
      <c r="AD48" s="2098"/>
      <c r="AE48" s="2099"/>
      <c r="AF48" s="2099"/>
      <c r="AG48" s="2099"/>
      <c r="AH48" s="2099"/>
      <c r="AI48" s="2099"/>
      <c r="AJ48" s="2099"/>
      <c r="AK48" s="2099"/>
      <c r="AL48" s="2100"/>
      <c r="AM48" s="1044" t="s">
        <v>334</v>
      </c>
      <c r="AO48" s="368"/>
      <c r="AP48" s="368" t="str">
        <f t="shared" si="1"/>
        <v>Группа потребителей</v>
      </c>
      <c r="AQ48" s="368"/>
      <c r="AR48" s="368"/>
    </row>
    <row r="49" spans="1:44" ht="21" customHeight="1">
      <c r="A49" s="1143" t="s">
        <v>130</v>
      </c>
      <c r="B49" s="1143" t="s">
        <v>131</v>
      </c>
      <c r="C49" s="1143" t="s">
        <v>132</v>
      </c>
      <c r="D49" s="1143" t="s">
        <v>133</v>
      </c>
      <c r="E49" s="2112"/>
      <c r="F49" s="2112"/>
      <c r="G49" s="2112"/>
      <c r="H49" s="2112"/>
      <c r="I49" s="2114"/>
      <c r="J49" s="2114"/>
      <c r="K49" s="2113" t="str">
        <f>J48&amp;".1"</f>
        <v>....1.1.1</v>
      </c>
      <c r="L49" s="1144" t="s">
        <v>335</v>
      </c>
      <c r="P49" s="2115"/>
      <c r="Q49" s="2115"/>
      <c r="R49" s="238">
        <v>1</v>
      </c>
      <c r="S49" s="1117" t="str">
        <f>$K49</f>
        <v>....1.1.1</v>
      </c>
      <c r="T49" s="1128"/>
      <c r="U49" s="175"/>
      <c r="V49" s="207"/>
      <c r="W49" s="576"/>
      <c r="X49" s="207"/>
      <c r="Y49" s="274"/>
      <c r="Z49" s="2116"/>
      <c r="AA49" s="2109" t="s">
        <v>16</v>
      </c>
      <c r="AB49" s="2116"/>
      <c r="AC49" s="2109" t="s">
        <v>16</v>
      </c>
      <c r="AD49" s="207"/>
      <c r="AE49" s="576"/>
      <c r="AF49" s="207"/>
      <c r="AG49" s="274"/>
      <c r="AH49" s="2116"/>
      <c r="AI49" s="2109" t="s">
        <v>16</v>
      </c>
      <c r="AJ49" s="2118"/>
      <c r="AK49" s="2109" t="s">
        <v>16</v>
      </c>
      <c r="AL49" s="1129"/>
      <c r="AM49" s="2134" t="s">
        <v>336</v>
      </c>
      <c r="AN49" s="379" t="e">
        <f ca="1">STRCHECKDATE(V50:AL50)</f>
        <v>#NAME?</v>
      </c>
      <c r="AO49" s="368"/>
      <c r="AP49" s="368" t="str">
        <f t="shared" si="1"/>
        <v/>
      </c>
      <c r="AQ49" s="368"/>
      <c r="AR49" s="368"/>
    </row>
    <row r="50" spans="1:44" ht="0.75" customHeight="1">
      <c r="A50" s="1143" t="s">
        <v>130</v>
      </c>
      <c r="B50" s="1143" t="s">
        <v>131</v>
      </c>
      <c r="C50" s="1143" t="s">
        <v>132</v>
      </c>
      <c r="D50" s="1143" t="s">
        <v>133</v>
      </c>
      <c r="E50" s="2112"/>
      <c r="F50" s="2112"/>
      <c r="G50" s="2112"/>
      <c r="H50" s="2112"/>
      <c r="I50" s="2114"/>
      <c r="J50" s="2114"/>
      <c r="K50" s="2113"/>
      <c r="L50" s="1144"/>
      <c r="P50" s="2115"/>
      <c r="Q50" s="2115"/>
      <c r="R50" s="238"/>
      <c r="S50" s="1123"/>
      <c r="T50" s="175"/>
      <c r="U50" s="175"/>
      <c r="V50" s="207"/>
      <c r="W50" s="207"/>
      <c r="X50" s="207"/>
      <c r="Y50" s="211" t="str">
        <f>Z49&amp;"-"&amp;AB49</f>
        <v>-</v>
      </c>
      <c r="Z50" s="2117"/>
      <c r="AA50" s="2109"/>
      <c r="AB50" s="2117"/>
      <c r="AC50" s="2109"/>
      <c r="AD50" s="207"/>
      <c r="AE50" s="207"/>
      <c r="AF50" s="207"/>
      <c r="AG50" s="211" t="str">
        <f>AH49&amp;"-"&amp;AJ49</f>
        <v>-</v>
      </c>
      <c r="AH50" s="2117"/>
      <c r="AI50" s="2109"/>
      <c r="AJ50" s="2119"/>
      <c r="AK50" s="2109"/>
      <c r="AL50" s="1130"/>
      <c r="AM50" s="2135"/>
      <c r="AO50" s="368"/>
      <c r="AP50" s="368" t="str">
        <f t="shared" si="1"/>
        <v/>
      </c>
      <c r="AQ50" s="368"/>
      <c r="AR50" s="368"/>
    </row>
    <row r="51" spans="1:44" ht="11.25" customHeight="1">
      <c r="A51" s="1143" t="s">
        <v>130</v>
      </c>
      <c r="B51" s="1143" t="s">
        <v>131</v>
      </c>
      <c r="C51" s="1143" t="s">
        <v>132</v>
      </c>
      <c r="D51" s="1143" t="s">
        <v>133</v>
      </c>
      <c r="E51" s="2112"/>
      <c r="F51" s="2112"/>
      <c r="G51" s="2112"/>
      <c r="H51" s="2112"/>
      <c r="I51" s="2114"/>
      <c r="J51" s="2113"/>
      <c r="K51" s="1143"/>
      <c r="L51" s="1144"/>
      <c r="P51" s="2115"/>
      <c r="Q51" s="2115"/>
      <c r="R51" s="237"/>
      <c r="S51" s="1062"/>
      <c r="T51" s="164" t="s">
        <v>337</v>
      </c>
      <c r="U51" s="251"/>
      <c r="V51" s="251"/>
      <c r="W51" s="251"/>
      <c r="X51" s="251"/>
      <c r="Y51" s="251"/>
      <c r="Z51" s="251"/>
      <c r="AA51" s="251"/>
      <c r="AB51" s="251"/>
      <c r="AC51" s="251"/>
      <c r="AD51" s="251"/>
      <c r="AE51" s="251"/>
      <c r="AF51" s="251"/>
      <c r="AG51" s="251"/>
      <c r="AH51" s="251"/>
      <c r="AI51" s="251"/>
      <c r="AJ51" s="251"/>
      <c r="AK51" s="251"/>
      <c r="AL51" s="206"/>
      <c r="AM51" s="2136"/>
      <c r="AO51" s="368"/>
      <c r="AP51" s="368" t="str">
        <f t="shared" si="1"/>
        <v>Добавить вид теплоносителя (параметры теплоносителя)</v>
      </c>
      <c r="AQ51" s="368"/>
      <c r="AR51" s="368"/>
    </row>
    <row r="52" spans="1:44" ht="11.25" customHeight="1">
      <c r="A52" s="1143" t="s">
        <v>130</v>
      </c>
      <c r="B52" s="1143" t="s">
        <v>131</v>
      </c>
      <c r="C52" s="1143" t="s">
        <v>132</v>
      </c>
      <c r="D52" s="1143" t="s">
        <v>133</v>
      </c>
      <c r="E52" s="2112"/>
      <c r="F52" s="2112"/>
      <c r="G52" s="2112"/>
      <c r="H52" s="2112"/>
      <c r="I52" s="2113"/>
      <c r="J52" s="1143"/>
      <c r="K52" s="1143"/>
      <c r="L52" s="1144"/>
      <c r="P52" s="2115"/>
      <c r="Q52" s="1112"/>
      <c r="R52" s="237"/>
      <c r="S52" s="1062"/>
      <c r="T52" s="163" t="s">
        <v>338</v>
      </c>
      <c r="U52" s="251"/>
      <c r="V52" s="251"/>
      <c r="W52" s="251"/>
      <c r="X52" s="251"/>
      <c r="Y52" s="251"/>
      <c r="Z52" s="251"/>
      <c r="AA52" s="251"/>
      <c r="AB52" s="251"/>
      <c r="AC52" s="250"/>
      <c r="AD52" s="251"/>
      <c r="AE52" s="251"/>
      <c r="AF52" s="251"/>
      <c r="AG52" s="251"/>
      <c r="AH52" s="251"/>
      <c r="AI52" s="251"/>
      <c r="AJ52" s="251"/>
      <c r="AK52" s="250"/>
      <c r="AL52" s="251"/>
      <c r="AM52" s="178"/>
      <c r="AO52" s="368"/>
      <c r="AP52" s="368" t="str">
        <f t="shared" si="1"/>
        <v>Добавить группу потребителей</v>
      </c>
      <c r="AQ52" s="368"/>
      <c r="AR52" s="368"/>
    </row>
    <row r="53" spans="1:44" ht="14.25" customHeight="1">
      <c r="A53" s="1143" t="s">
        <v>130</v>
      </c>
      <c r="B53" s="1143" t="s">
        <v>131</v>
      </c>
      <c r="C53" s="1143" t="s">
        <v>132</v>
      </c>
      <c r="D53" s="1143" t="s">
        <v>133</v>
      </c>
      <c r="E53" s="2112"/>
      <c r="F53" s="2112"/>
      <c r="G53" s="2112"/>
      <c r="H53" s="2111"/>
      <c r="I53" s="1143"/>
      <c r="J53" s="1143"/>
      <c r="K53" s="1143"/>
      <c r="L53" s="1144"/>
      <c r="M53" s="1145"/>
      <c r="N53" s="1145"/>
      <c r="O53" s="395"/>
      <c r="P53" s="241"/>
      <c r="Q53" s="260"/>
      <c r="R53" s="236"/>
      <c r="S53" s="1062"/>
      <c r="T53" s="248" t="s">
        <v>339</v>
      </c>
      <c r="U53" s="251"/>
      <c r="V53" s="251"/>
      <c r="W53" s="251"/>
      <c r="X53" s="251"/>
      <c r="Y53" s="251"/>
      <c r="Z53" s="251"/>
      <c r="AA53" s="251"/>
      <c r="AB53" s="251"/>
      <c r="AC53" s="250"/>
      <c r="AD53" s="251"/>
      <c r="AE53" s="251"/>
      <c r="AF53" s="251"/>
      <c r="AG53" s="251"/>
      <c r="AH53" s="251"/>
      <c r="AI53" s="251"/>
      <c r="AJ53" s="251"/>
      <c r="AK53" s="250"/>
      <c r="AL53" s="251"/>
      <c r="AM53" s="178"/>
      <c r="AO53" s="368"/>
      <c r="AP53" s="368" t="str">
        <f t="shared" si="1"/>
        <v>Добавить схему подключения</v>
      </c>
      <c r="AQ53" s="368"/>
      <c r="AR53" s="368"/>
    </row>
    <row r="54" spans="1:44" s="1686" customFormat="1" ht="0.75" customHeight="1">
      <c r="A54" s="1124" t="s">
        <v>130</v>
      </c>
      <c r="B54" s="1124" t="s">
        <v>131</v>
      </c>
      <c r="C54" s="1124" t="s">
        <v>132</v>
      </c>
      <c r="D54" s="1096"/>
      <c r="E54" s="2112"/>
      <c r="F54" s="2112"/>
      <c r="G54" s="2111"/>
      <c r="H54" s="1096"/>
      <c r="I54" s="1096"/>
      <c r="J54" s="1096"/>
      <c r="K54" s="1096"/>
      <c r="L54" s="1120"/>
      <c r="M54" s="1097"/>
      <c r="N54" s="1097"/>
      <c r="P54" s="1098"/>
      <c r="Q54" s="1099"/>
      <c r="R54" s="1098"/>
      <c r="S54" s="1104"/>
      <c r="T54" s="1107" t="s">
        <v>340</v>
      </c>
      <c r="U54" s="1106"/>
      <c r="V54" s="1106"/>
      <c r="W54" s="1106"/>
      <c r="X54" s="1106"/>
      <c r="Y54" s="1106"/>
      <c r="Z54" s="1106"/>
      <c r="AA54" s="1106"/>
      <c r="AB54" s="1106"/>
      <c r="AC54" s="1106"/>
      <c r="AD54" s="1106"/>
      <c r="AE54" s="1106"/>
      <c r="AF54" s="1106"/>
      <c r="AG54" s="1106"/>
      <c r="AH54" s="1106"/>
      <c r="AI54" s="1106"/>
      <c r="AJ54" s="1106"/>
      <c r="AK54" s="1106"/>
      <c r="AL54" s="1106"/>
      <c r="AM54" s="1106"/>
      <c r="AO54" s="598"/>
      <c r="AP54" s="598" t="str">
        <f t="shared" si="1"/>
        <v>Добавить источник для дифференциации</v>
      </c>
      <c r="AQ54" s="598"/>
      <c r="AR54" s="598"/>
    </row>
    <row r="55" spans="1:44" s="1686" customFormat="1" ht="0.75" customHeight="1">
      <c r="A55" s="1124" t="s">
        <v>130</v>
      </c>
      <c r="B55" s="1124" t="s">
        <v>131</v>
      </c>
      <c r="C55" s="1096"/>
      <c r="D55" s="1096"/>
      <c r="E55" s="2112"/>
      <c r="F55" s="2111"/>
      <c r="G55" s="1096"/>
      <c r="H55" s="1096"/>
      <c r="I55" s="1096"/>
      <c r="J55" s="1096"/>
      <c r="K55" s="1096"/>
      <c r="L55" s="1120"/>
      <c r="M55" s="1103"/>
      <c r="N55" s="1103"/>
      <c r="P55" s="1098"/>
      <c r="Q55" s="1099"/>
      <c r="R55" s="1098"/>
      <c r="S55" s="1104"/>
      <c r="T55" s="1107" t="s">
        <v>341</v>
      </c>
      <c r="U55" s="1106"/>
      <c r="V55" s="1106"/>
      <c r="W55" s="1106"/>
      <c r="X55" s="1106"/>
      <c r="Y55" s="1106"/>
      <c r="Z55" s="1106"/>
      <c r="AA55" s="1106"/>
      <c r="AB55" s="1106"/>
      <c r="AC55" s="1106"/>
      <c r="AD55" s="1106"/>
      <c r="AE55" s="1106"/>
      <c r="AF55" s="1106"/>
      <c r="AG55" s="1106"/>
      <c r="AH55" s="1106"/>
      <c r="AI55" s="1106"/>
      <c r="AJ55" s="1106"/>
      <c r="AK55" s="1106"/>
      <c r="AL55" s="1106"/>
      <c r="AM55" s="1106"/>
      <c r="AO55" s="598"/>
      <c r="AP55" s="598" t="str">
        <f t="shared" si="1"/>
        <v>Добавить централизованную систему для дифференциации</v>
      </c>
      <c r="AQ55" s="598"/>
      <c r="AR55" s="598"/>
    </row>
    <row r="56" spans="1:44" s="1622" customFormat="1" ht="0.75" customHeight="1">
      <c r="A56" s="1124" t="s">
        <v>130</v>
      </c>
      <c r="B56" s="1124"/>
      <c r="C56" s="1124"/>
      <c r="D56" s="1124"/>
      <c r="E56" s="2111"/>
      <c r="F56" s="1124"/>
      <c r="G56" s="1124"/>
      <c r="H56" s="1124"/>
      <c r="I56" s="1124"/>
      <c r="J56" s="1124"/>
      <c r="K56" s="1124"/>
      <c r="L56" s="1127"/>
      <c r="M56" s="1103"/>
      <c r="N56" s="1103"/>
      <c r="O56" s="386"/>
      <c r="P56" s="269"/>
      <c r="Q56" s="1125"/>
      <c r="R56" s="269"/>
      <c r="S56" s="1104"/>
      <c r="T56" s="1107" t="s">
        <v>342</v>
      </c>
      <c r="U56" s="1106"/>
      <c r="V56" s="1106"/>
      <c r="W56" s="1106"/>
      <c r="X56" s="1106"/>
      <c r="Y56" s="1106"/>
      <c r="Z56" s="1106"/>
      <c r="AA56" s="1106"/>
      <c r="AB56" s="1106"/>
      <c r="AC56" s="1106"/>
      <c r="AD56" s="1106"/>
      <c r="AE56" s="1106"/>
      <c r="AF56" s="1106"/>
      <c r="AG56" s="1106"/>
      <c r="AH56" s="1106"/>
      <c r="AI56" s="1106"/>
      <c r="AJ56" s="1106"/>
      <c r="AK56" s="1106"/>
      <c r="AL56" s="1106"/>
      <c r="AM56" s="1106"/>
      <c r="AO56" s="368"/>
      <c r="AP56" s="368" t="str">
        <f t="shared" si="1"/>
        <v>Добавить территорию для дифференциации</v>
      </c>
      <c r="AQ56" s="368"/>
      <c r="AR56" s="368"/>
    </row>
    <row r="57" spans="1:44" s="1686" customFormat="1" ht="0.75" customHeight="1">
      <c r="A57" s="1096"/>
      <c r="B57" s="1096"/>
      <c r="C57" s="1096"/>
      <c r="D57" s="1096"/>
      <c r="E57" s="1124"/>
      <c r="F57" s="1096"/>
      <c r="G57" s="1096"/>
      <c r="H57" s="1096"/>
      <c r="I57" s="1096"/>
      <c r="J57" s="1096"/>
      <c r="K57" s="1096"/>
      <c r="L57" s="1120"/>
      <c r="M57" s="1103"/>
      <c r="N57" s="1103"/>
      <c r="P57" s="1098"/>
      <c r="Q57" s="1099"/>
      <c r="R57" s="1098"/>
      <c r="S57" s="1104"/>
      <c r="T57" s="1107" t="s">
        <v>374</v>
      </c>
      <c r="U57" s="1106"/>
      <c r="V57" s="1106"/>
      <c r="W57" s="1106"/>
      <c r="X57" s="1106"/>
      <c r="Y57" s="1106"/>
      <c r="Z57" s="1106"/>
      <c r="AA57" s="1106"/>
      <c r="AB57" s="1106"/>
      <c r="AC57" s="1106"/>
      <c r="AD57" s="1106"/>
      <c r="AE57" s="1106"/>
      <c r="AF57" s="1106"/>
      <c r="AG57" s="1106"/>
      <c r="AH57" s="1106"/>
      <c r="AI57" s="1106"/>
      <c r="AJ57" s="1106"/>
      <c r="AK57" s="1106"/>
      <c r="AL57" s="1106"/>
      <c r="AM57" s="1106"/>
      <c r="AO57" s="598"/>
      <c r="AP57" s="598" t="str">
        <f t="shared" si="1"/>
        <v>Добавить наименование тарифа</v>
      </c>
      <c r="AQ57" s="598"/>
      <c r="AR57" s="598"/>
    </row>
    <row r="58" spans="1:44" ht="11.25" customHeight="1">
      <c r="M58" s="929"/>
      <c r="N58" s="929"/>
      <c r="O58" s="395"/>
      <c r="P58" s="924"/>
      <c r="Q58" s="924"/>
      <c r="R58" s="924"/>
      <c r="S58" s="924"/>
      <c r="AN58" s="924"/>
      <c r="AO58" s="924"/>
      <c r="AP58" s="924"/>
      <c r="AQ58" s="924"/>
      <c r="AR58" s="924"/>
    </row>
    <row r="59" spans="1:44" ht="27" customHeight="1">
      <c r="O59" s="395"/>
      <c r="S59" s="1031"/>
      <c r="T59" s="2110"/>
      <c r="U59" s="2110"/>
      <c r="V59" s="2110"/>
      <c r="W59" s="2110"/>
      <c r="X59" s="2110"/>
      <c r="Y59" s="2110"/>
      <c r="Z59" s="2110"/>
      <c r="AA59" s="2110"/>
      <c r="AB59" s="2110"/>
      <c r="AC59" s="2110"/>
      <c r="AD59" s="2110"/>
      <c r="AE59" s="2110"/>
      <c r="AF59" s="2110"/>
      <c r="AG59" s="2110"/>
      <c r="AH59" s="2110"/>
      <c r="AI59" s="2110"/>
      <c r="AJ59" s="2110"/>
      <c r="AK59" s="2110"/>
      <c r="AL59" s="2110"/>
      <c r="AM59" s="2110"/>
    </row>
    <row r="60" spans="1:44" ht="75" customHeight="1">
      <c r="O60" s="395"/>
      <c r="T60" s="2110"/>
      <c r="U60" s="2110"/>
      <c r="V60" s="2110"/>
      <c r="W60" s="2110"/>
      <c r="X60" s="2110"/>
      <c r="Y60" s="2110"/>
      <c r="Z60" s="2110"/>
      <c r="AA60" s="2110"/>
      <c r="AB60" s="2110"/>
      <c r="AC60" s="2110"/>
      <c r="AD60" s="2110"/>
      <c r="AE60" s="2110"/>
      <c r="AF60" s="2110"/>
      <c r="AG60" s="2110"/>
      <c r="AH60" s="2110"/>
      <c r="AI60" s="2110"/>
      <c r="AJ60" s="2110"/>
      <c r="AK60" s="2110"/>
      <c r="AL60" s="2110"/>
      <c r="AM60" s="2110"/>
    </row>
    <row r="61" spans="1:44" ht="14.25" customHeight="1">
      <c r="O61" s="395"/>
    </row>
    <row r="62" spans="1:44" ht="18" customHeight="1">
      <c r="O62" s="395"/>
      <c r="S62" s="1031"/>
      <c r="T62" s="2110"/>
      <c r="U62" s="2110"/>
      <c r="V62" s="2110"/>
      <c r="W62" s="2110"/>
      <c r="X62" s="2110"/>
      <c r="Y62" s="2110"/>
      <c r="Z62" s="2110"/>
      <c r="AA62" s="2110"/>
      <c r="AB62" s="2110"/>
      <c r="AC62" s="2110"/>
      <c r="AD62" s="2110"/>
      <c r="AE62" s="2110"/>
      <c r="AF62" s="2110"/>
      <c r="AG62" s="2110"/>
      <c r="AH62" s="2110"/>
      <c r="AI62" s="2110"/>
      <c r="AJ62" s="2110"/>
      <c r="AK62" s="2110"/>
      <c r="AL62" s="2110"/>
      <c r="AM62" s="2110"/>
    </row>
    <row r="63" spans="1:44" ht="18" customHeight="1">
      <c r="O63" s="395"/>
      <c r="T63" s="2110"/>
      <c r="U63" s="2110"/>
      <c r="V63" s="2110"/>
      <c r="W63" s="2110"/>
      <c r="X63" s="2110"/>
      <c r="Y63" s="2110"/>
      <c r="Z63" s="2110"/>
      <c r="AA63" s="2110"/>
      <c r="AB63" s="2110"/>
      <c r="AC63" s="2110"/>
      <c r="AD63" s="2110"/>
      <c r="AE63" s="2110"/>
      <c r="AF63" s="2110"/>
      <c r="AG63" s="2110"/>
      <c r="AH63" s="2110"/>
      <c r="AI63" s="2110"/>
      <c r="AJ63" s="2110"/>
      <c r="AK63" s="2110"/>
      <c r="AL63" s="2110"/>
      <c r="AM63" s="2110"/>
    </row>
    <row r="64" spans="1:44" ht="38.25" customHeight="1">
      <c r="O64" s="395"/>
      <c r="S64" s="1031"/>
      <c r="T64" s="2110"/>
      <c r="U64" s="2110"/>
      <c r="V64" s="2110"/>
      <c r="W64" s="2110"/>
      <c r="X64" s="2110"/>
      <c r="Y64" s="2110"/>
      <c r="Z64" s="2110"/>
      <c r="AA64" s="2110"/>
      <c r="AB64" s="2110"/>
      <c r="AC64" s="2110"/>
      <c r="AD64" s="2110"/>
      <c r="AE64" s="2110"/>
      <c r="AF64" s="2110"/>
      <c r="AG64" s="2110"/>
      <c r="AH64" s="2110"/>
      <c r="AI64" s="2110"/>
      <c r="AJ64" s="2110"/>
      <c r="AK64" s="2110"/>
      <c r="AL64" s="2110"/>
      <c r="AM64" s="2110"/>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687" hidden="1"/>
    <col min="2" max="2" width="11" style="1687" hidden="1" customWidth="1"/>
    <col min="3" max="3" width="10.5703125" style="1687" hidden="1"/>
    <col min="4" max="4" width="11.85546875" style="1687" hidden="1" customWidth="1"/>
    <col min="5" max="5" width="10" style="1687" hidden="1" customWidth="1"/>
    <col min="6" max="6" width="8.7109375" style="1687" hidden="1" customWidth="1"/>
    <col min="7" max="7" width="7.5703125" style="1687" hidden="1" customWidth="1"/>
    <col min="8" max="8" width="11.42578125" style="1687" hidden="1" customWidth="1"/>
    <col min="9" max="9" width="12" style="1687" hidden="1" customWidth="1"/>
    <col min="10" max="10" width="9.85546875" style="1687" hidden="1" customWidth="1"/>
    <col min="11" max="11" width="11.42578125" style="1687" hidden="1" customWidth="1"/>
    <col min="12" max="12" width="19.140625" style="1688" hidden="1" customWidth="1"/>
    <col min="13" max="14" width="12.28515625" style="1689" hidden="1" customWidth="1"/>
    <col min="15" max="15" width="23.42578125" style="1689" hidden="1" customWidth="1"/>
    <col min="16" max="16" width="3.7109375" style="1693" hidden="1" customWidth="1"/>
    <col min="17" max="18" width="3.7109375" style="1695" customWidth="1"/>
    <col min="19" max="19" width="12.7109375" style="1696" customWidth="1"/>
    <col min="20" max="20" width="32" style="1661" customWidth="1"/>
    <col min="21" max="21" width="0.140625" style="1661" customWidth="1"/>
    <col min="22" max="22" width="24.7109375" style="1661" hidden="1" customWidth="1"/>
    <col min="23" max="23" width="0.140625" style="1661" hidden="1" customWidth="1"/>
    <col min="24" max="25" width="24.7109375" style="1661" hidden="1" customWidth="1"/>
    <col min="26" max="26" width="11.7109375" style="1661" hidden="1" customWidth="1"/>
    <col min="27" max="27" width="3.7109375" style="1661" hidden="1" customWidth="1"/>
    <col min="28" max="28" width="11.7109375" style="1661" hidden="1" customWidth="1"/>
    <col min="29" max="29" width="8.5703125" style="1661" hidden="1" customWidth="1"/>
    <col min="30" max="30" width="24.7109375" style="1661" customWidth="1"/>
    <col min="31" max="31" width="0.140625" style="1661" customWidth="1"/>
    <col min="32" max="33" width="24.7109375" style="1661" customWidth="1"/>
    <col min="34" max="34" width="11.7109375" style="1661" customWidth="1"/>
    <col min="35" max="35" width="3.7109375" style="1661" customWidth="1"/>
    <col min="36" max="36" width="11.7109375" style="1661" customWidth="1"/>
    <col min="37" max="37" width="8.5703125" style="1661" hidden="1" customWidth="1"/>
    <col min="38" max="38" width="4.7109375" style="1661" customWidth="1"/>
    <col min="39" max="39" width="115.7109375" style="1661" customWidth="1"/>
    <col min="40" max="41" width="10.5703125" style="1622"/>
    <col min="42" max="42" width="11.140625" style="1622" customWidth="1"/>
    <col min="43" max="44" width="10.5703125" style="1622"/>
  </cols>
  <sheetData>
    <row r="1" spans="1:44" ht="14.25" hidden="1" customHeight="1">
      <c r="Y1" s="210"/>
      <c r="Z1" s="210"/>
      <c r="AG1" s="210"/>
      <c r="AH1" s="210"/>
    </row>
    <row r="2" spans="1:44" ht="21" hidden="1" customHeight="1">
      <c r="A2" s="1143"/>
      <c r="B2" s="1143"/>
      <c r="C2" s="1143"/>
      <c r="D2" s="1143"/>
      <c r="E2" s="2111">
        <v>1</v>
      </c>
      <c r="F2" s="1143"/>
      <c r="G2" s="1143"/>
      <c r="H2" s="1143"/>
      <c r="I2" s="1143"/>
      <c r="J2" s="1143"/>
      <c r="K2" s="1143"/>
      <c r="L2" s="1144"/>
      <c r="M2" s="1145"/>
      <c r="N2" s="1145"/>
      <c r="O2" s="1145"/>
      <c r="P2" s="242"/>
      <c r="Q2" s="241"/>
      <c r="R2" s="236"/>
      <c r="S2" s="1117" t="e">
        <f>INDEX(PT_DIFFERENTIATION_NUM_NTAR,MATCH(A2,PT_DIFFERENTIATION_NTAR_ID,0))</f>
        <v>#N/A</v>
      </c>
      <c r="T2" s="173" t="s">
        <v>61</v>
      </c>
      <c r="U2" s="175"/>
      <c r="V2" s="2104"/>
      <c r="W2" s="2105"/>
      <c r="X2" s="2105"/>
      <c r="Y2" s="2105"/>
      <c r="Z2" s="2105"/>
      <c r="AA2" s="2105"/>
      <c r="AB2" s="2105"/>
      <c r="AC2" s="2106"/>
      <c r="AD2" s="2104" t="e">
        <f>INDEX(PT_DIFFERENTIATION_NTAR,MATCH(A2,PT_DIFFERENTIATION_NTAR_ID,0))</f>
        <v>#N/A</v>
      </c>
      <c r="AE2" s="2105"/>
      <c r="AF2" s="2105"/>
      <c r="AG2" s="2105"/>
      <c r="AH2" s="2105"/>
      <c r="AI2" s="2105"/>
      <c r="AJ2" s="2105"/>
      <c r="AK2" s="2105"/>
      <c r="AL2" s="2106"/>
      <c r="AM2" s="1044" t="s">
        <v>322</v>
      </c>
      <c r="AO2" s="368"/>
      <c r="AP2" s="368" t="str">
        <f t="shared" ref="AP2:AP15" si="0">IF(T2="","",T2)</f>
        <v>Наименование тарифа</v>
      </c>
      <c r="AQ2" s="368"/>
      <c r="AR2" s="368"/>
    </row>
    <row r="3" spans="1:44" ht="21" hidden="1" customHeight="1">
      <c r="A3" s="1143"/>
      <c r="B3" s="1143"/>
      <c r="C3" s="1143"/>
      <c r="D3" s="1143"/>
      <c r="E3" s="2112"/>
      <c r="F3" s="2111">
        <v>1</v>
      </c>
      <c r="G3" s="1143"/>
      <c r="H3" s="1143"/>
      <c r="I3" s="1143"/>
      <c r="J3" s="1143"/>
      <c r="K3" s="1143"/>
      <c r="L3" s="1144"/>
      <c r="M3" s="1145"/>
      <c r="N3" s="1145"/>
      <c r="O3" s="1145"/>
      <c r="P3" s="1113"/>
      <c r="Q3" s="233"/>
      <c r="R3" s="234"/>
      <c r="S3" s="1117" t="e">
        <f>INDEX(PT_DIFFERENTIATION_NUM_TER,MATCH(B3,PT_DIFFERENTIATION_TER_ID,0))</f>
        <v>#N/A</v>
      </c>
      <c r="T3" s="185" t="s">
        <v>323</v>
      </c>
      <c r="U3" s="175"/>
      <c r="V3" s="2104"/>
      <c r="W3" s="2105"/>
      <c r="X3" s="2105"/>
      <c r="Y3" s="2105"/>
      <c r="Z3" s="2105"/>
      <c r="AA3" s="2105"/>
      <c r="AB3" s="2105"/>
      <c r="AC3" s="2106"/>
      <c r="AD3" s="2104" t="e">
        <f>INDEX(PT_DIFFERENTIATION_TER,MATCH(B3,PT_DIFFERENTIATION_TER_ID,0))</f>
        <v>#N/A</v>
      </c>
      <c r="AE3" s="2105"/>
      <c r="AF3" s="2105"/>
      <c r="AG3" s="2105"/>
      <c r="AH3" s="2105"/>
      <c r="AI3" s="2105"/>
      <c r="AJ3" s="2105"/>
      <c r="AK3" s="2105"/>
      <c r="AL3" s="2106"/>
      <c r="AM3" s="1044" t="s">
        <v>324</v>
      </c>
      <c r="AO3" s="368"/>
      <c r="AP3" s="368" t="str">
        <f t="shared" si="0"/>
        <v>Территория действия тарифа</v>
      </c>
      <c r="AQ3" s="368"/>
      <c r="AR3" s="368"/>
    </row>
    <row r="4" spans="1:44" ht="23.25" hidden="1" customHeight="1">
      <c r="A4" s="1143"/>
      <c r="B4" s="1143"/>
      <c r="C4" s="1143"/>
      <c r="D4" s="1143"/>
      <c r="E4" s="2112"/>
      <c r="F4" s="2112"/>
      <c r="G4" s="2111">
        <v>1</v>
      </c>
      <c r="H4" s="1143"/>
      <c r="I4" s="1143"/>
      <c r="J4" s="1143"/>
      <c r="K4" s="1143"/>
      <c r="L4" s="1144"/>
      <c r="M4" s="1145"/>
      <c r="N4" s="1145"/>
      <c r="O4" s="1145"/>
      <c r="P4" s="235"/>
      <c r="Q4" s="233"/>
      <c r="R4" s="234"/>
      <c r="S4" s="1117" t="e">
        <f>INDEX(PT_DIFFERENTIATION_NUM_CS,MATCH(C4,PT_DIFFERENTIATION_CS_ID,0))</f>
        <v>#N/A</v>
      </c>
      <c r="T4" s="186" t="s">
        <v>325</v>
      </c>
      <c r="U4" s="175"/>
      <c r="V4" s="2104"/>
      <c r="W4" s="2105"/>
      <c r="X4" s="2105"/>
      <c r="Y4" s="2105"/>
      <c r="Z4" s="2105"/>
      <c r="AA4" s="2105"/>
      <c r="AB4" s="2105"/>
      <c r="AC4" s="2106"/>
      <c r="AD4" s="2104" t="e">
        <f>INDEX(PT_DIFFERENTIATION_CS,MATCH(C4,PT_DIFFERENTIATION_CS_ID,0))</f>
        <v>#N/A</v>
      </c>
      <c r="AE4" s="2105"/>
      <c r="AF4" s="2105"/>
      <c r="AG4" s="2105"/>
      <c r="AH4" s="2105"/>
      <c r="AI4" s="2105"/>
      <c r="AJ4" s="2105"/>
      <c r="AK4" s="2105"/>
      <c r="AL4" s="2106"/>
      <c r="AM4" s="1044" t="s">
        <v>326</v>
      </c>
      <c r="AO4" s="368"/>
      <c r="AP4" s="368" t="str">
        <f t="shared" si="0"/>
        <v xml:space="preserve">Наименование системы теплоснабжения </v>
      </c>
      <c r="AQ4" s="368"/>
      <c r="AR4" s="368"/>
    </row>
    <row r="5" spans="1:44" ht="21" hidden="1" customHeight="1">
      <c r="A5" s="1143"/>
      <c r="B5" s="1143"/>
      <c r="C5" s="1143"/>
      <c r="D5" s="1143"/>
      <c r="E5" s="2112"/>
      <c r="F5" s="2112"/>
      <c r="G5" s="2112"/>
      <c r="H5" s="2111">
        <v>1</v>
      </c>
      <c r="I5" s="1143"/>
      <c r="J5" s="1143"/>
      <c r="K5" s="1143"/>
      <c r="L5" s="1144"/>
      <c r="M5" s="1145"/>
      <c r="N5" s="1145"/>
      <c r="O5" s="1145"/>
      <c r="P5" s="235"/>
      <c r="Q5" s="233"/>
      <c r="R5" s="234"/>
      <c r="S5" s="1117" t="e">
        <f>INDEX(PT_DIFFERENTIATION_NUM_IST_TE,MATCH(D5,PT_DIFFERENTIATION_IST_TE_ID,0))</f>
        <v>#N/A</v>
      </c>
      <c r="T5" s="187" t="s">
        <v>327</v>
      </c>
      <c r="U5" s="175"/>
      <c r="V5" s="2104"/>
      <c r="W5" s="2105"/>
      <c r="X5" s="2105"/>
      <c r="Y5" s="2105"/>
      <c r="Z5" s="2105"/>
      <c r="AA5" s="2105"/>
      <c r="AB5" s="2105"/>
      <c r="AC5" s="2106"/>
      <c r="AD5" s="2104" t="e">
        <f>INDEX(PT_DIFFERENTIATION_IST_TE,MATCH(D5,PT_DIFFERENTIATION_IST_TE_ID,0))</f>
        <v>#N/A</v>
      </c>
      <c r="AE5" s="2105"/>
      <c r="AF5" s="2105"/>
      <c r="AG5" s="2105"/>
      <c r="AH5" s="2105"/>
      <c r="AI5" s="2105"/>
      <c r="AJ5" s="2105"/>
      <c r="AK5" s="2105"/>
      <c r="AL5" s="2106"/>
      <c r="AM5" s="1044" t="s">
        <v>328</v>
      </c>
      <c r="AO5" s="368"/>
      <c r="AP5" s="368" t="str">
        <f t="shared" si="0"/>
        <v xml:space="preserve">Источник тепловой энергии  </v>
      </c>
      <c r="AQ5" s="368"/>
      <c r="AR5" s="368"/>
    </row>
    <row r="6" spans="1:44" ht="14.25" hidden="1" customHeight="1">
      <c r="A6" s="1143"/>
      <c r="B6" s="1143"/>
      <c r="C6" s="1143"/>
      <c r="D6" s="1143"/>
      <c r="E6" s="2112"/>
      <c r="F6" s="2112"/>
      <c r="G6" s="2112"/>
      <c r="H6" s="2112"/>
      <c r="I6" s="2113" t="e">
        <f>S5&amp;".1"</f>
        <v>#N/A</v>
      </c>
      <c r="J6" s="1143"/>
      <c r="K6" s="1143"/>
      <c r="L6" s="1144" t="s">
        <v>329</v>
      </c>
      <c r="M6" s="395"/>
      <c r="P6" s="2115">
        <v>1</v>
      </c>
      <c r="Q6" s="1112"/>
      <c r="R6" s="237"/>
      <c r="S6" s="825"/>
      <c r="T6" s="1163"/>
      <c r="U6" s="1164"/>
      <c r="V6" s="2140"/>
      <c r="W6" s="2141"/>
      <c r="X6" s="2141"/>
      <c r="Y6" s="2141"/>
      <c r="Z6" s="2141"/>
      <c r="AA6" s="2141"/>
      <c r="AB6" s="2141"/>
      <c r="AC6" s="2142"/>
      <c r="AD6" s="2140"/>
      <c r="AE6" s="2141"/>
      <c r="AF6" s="2141"/>
      <c r="AG6" s="2141"/>
      <c r="AH6" s="2141"/>
      <c r="AI6" s="2141"/>
      <c r="AJ6" s="2141"/>
      <c r="AK6" s="2141"/>
      <c r="AL6" s="2142"/>
      <c r="AM6" s="1165"/>
      <c r="AO6" s="368"/>
      <c r="AP6" s="368" t="str">
        <f t="shared" si="0"/>
        <v/>
      </c>
      <c r="AQ6" s="368"/>
      <c r="AR6" s="368"/>
    </row>
    <row r="7" spans="1:44" ht="21" hidden="1" customHeight="1">
      <c r="A7" s="1143"/>
      <c r="B7" s="1143"/>
      <c r="C7" s="1143"/>
      <c r="D7" s="1143"/>
      <c r="E7" s="2112"/>
      <c r="F7" s="2112"/>
      <c r="G7" s="2112"/>
      <c r="H7" s="2112"/>
      <c r="I7" s="2114"/>
      <c r="J7" s="2113" t="e">
        <f>I6&amp;".1"</f>
        <v>#N/A</v>
      </c>
      <c r="K7" s="1143"/>
      <c r="L7" s="1144" t="s">
        <v>332</v>
      </c>
      <c r="M7" s="395"/>
      <c r="N7" s="1146"/>
      <c r="P7" s="2115"/>
      <c r="Q7" s="2115">
        <v>1</v>
      </c>
      <c r="R7" s="238"/>
      <c r="S7" s="1117" t="e">
        <f>$J7</f>
        <v>#N/A</v>
      </c>
      <c r="T7" s="162" t="s">
        <v>333</v>
      </c>
      <c r="U7" s="175"/>
      <c r="V7" s="2098"/>
      <c r="W7" s="2099"/>
      <c r="X7" s="2099"/>
      <c r="Y7" s="2099"/>
      <c r="Z7" s="2099"/>
      <c r="AA7" s="2099"/>
      <c r="AB7" s="2099"/>
      <c r="AC7" s="2100"/>
      <c r="AD7" s="2098"/>
      <c r="AE7" s="2099"/>
      <c r="AF7" s="2099"/>
      <c r="AG7" s="2099"/>
      <c r="AH7" s="2099"/>
      <c r="AI7" s="2099"/>
      <c r="AJ7" s="2099"/>
      <c r="AK7" s="2099"/>
      <c r="AL7" s="2100"/>
      <c r="AM7" s="1044" t="s">
        <v>334</v>
      </c>
      <c r="AO7" s="368"/>
      <c r="AP7" s="368" t="str">
        <f t="shared" si="0"/>
        <v>Группа потребителей</v>
      </c>
      <c r="AQ7" s="368"/>
      <c r="AR7" s="368"/>
    </row>
    <row r="8" spans="1:44" ht="21" hidden="1" customHeight="1">
      <c r="A8" s="1143"/>
      <c r="B8" s="1143"/>
      <c r="C8" s="1143"/>
      <c r="D8" s="1143"/>
      <c r="E8" s="2112"/>
      <c r="F8" s="2112"/>
      <c r="G8" s="2112"/>
      <c r="H8" s="2112"/>
      <c r="I8" s="2114"/>
      <c r="J8" s="2114"/>
      <c r="K8" s="2113" t="e">
        <f>J7&amp;".1"</f>
        <v>#N/A</v>
      </c>
      <c r="L8" s="1144" t="s">
        <v>335</v>
      </c>
      <c r="M8" s="395"/>
      <c r="N8" s="1146"/>
      <c r="O8" s="1146"/>
      <c r="P8" s="2115"/>
      <c r="Q8" s="2115"/>
      <c r="R8" s="238">
        <v>1</v>
      </c>
      <c r="S8" s="1117" t="e">
        <f>$K8</f>
        <v>#N/A</v>
      </c>
      <c r="T8" s="1128"/>
      <c r="U8" s="175"/>
      <c r="V8" s="576"/>
      <c r="W8" s="207"/>
      <c r="X8" s="576"/>
      <c r="Y8" s="1043"/>
      <c r="Z8" s="2116"/>
      <c r="AA8" s="2109" t="s">
        <v>16</v>
      </c>
      <c r="AB8" s="2116"/>
      <c r="AC8" s="2109" t="s">
        <v>16</v>
      </c>
      <c r="AD8" s="576"/>
      <c r="AE8" s="207"/>
      <c r="AF8" s="576"/>
      <c r="AG8" s="1043"/>
      <c r="AH8" s="2116"/>
      <c r="AI8" s="2109" t="s">
        <v>16</v>
      </c>
      <c r="AJ8" s="2116"/>
      <c r="AK8" s="2109" t="s">
        <v>16</v>
      </c>
      <c r="AL8" s="207"/>
      <c r="AM8" s="2134" t="s">
        <v>336</v>
      </c>
      <c r="AN8" s="379" t="e">
        <f ca="1">STRCHECKDATE(V9:AL9)</f>
        <v>#NAME?</v>
      </c>
      <c r="AO8" s="368"/>
      <c r="AP8" s="368" t="str">
        <f t="shared" si="0"/>
        <v/>
      </c>
      <c r="AQ8" s="368"/>
      <c r="AR8" s="368"/>
    </row>
    <row r="9" spans="1:44" ht="0.75" hidden="1" customHeight="1">
      <c r="A9" s="1143"/>
      <c r="B9" s="1143"/>
      <c r="C9" s="1143"/>
      <c r="D9" s="1143"/>
      <c r="E9" s="2112"/>
      <c r="F9" s="2112"/>
      <c r="G9" s="2112"/>
      <c r="H9" s="2112"/>
      <c r="I9" s="2114"/>
      <c r="J9" s="2114"/>
      <c r="K9" s="2113"/>
      <c r="L9" s="1144"/>
      <c r="M9" s="395"/>
      <c r="N9" s="1146"/>
      <c r="O9" s="1146"/>
      <c r="P9" s="2115"/>
      <c r="Q9" s="2115"/>
      <c r="R9" s="238"/>
      <c r="S9" s="1123"/>
      <c r="T9" s="175"/>
      <c r="U9" s="175"/>
      <c r="V9" s="207"/>
      <c r="W9" s="207"/>
      <c r="X9" s="207"/>
      <c r="Y9" s="211" t="str">
        <f>Z8&amp;"-"&amp;AB8</f>
        <v>-</v>
      </c>
      <c r="Z9" s="2117"/>
      <c r="AA9" s="2109"/>
      <c r="AB9" s="2117"/>
      <c r="AC9" s="2109"/>
      <c r="AD9" s="207"/>
      <c r="AE9" s="207"/>
      <c r="AF9" s="207"/>
      <c r="AG9" s="211" t="str">
        <f>AH8&amp;"-"&amp;AJ8</f>
        <v>-</v>
      </c>
      <c r="AH9" s="2117"/>
      <c r="AI9" s="2109"/>
      <c r="AJ9" s="2117"/>
      <c r="AK9" s="2109"/>
      <c r="AL9" s="207"/>
      <c r="AM9" s="2135"/>
      <c r="AO9" s="368"/>
      <c r="AP9" s="368" t="str">
        <f t="shared" si="0"/>
        <v/>
      </c>
      <c r="AQ9" s="368"/>
      <c r="AR9" s="368"/>
    </row>
    <row r="10" spans="1:44" ht="15" hidden="1" customHeight="1">
      <c r="A10" s="1143"/>
      <c r="B10" s="1143"/>
      <c r="C10" s="1143"/>
      <c r="D10" s="1143"/>
      <c r="E10" s="2112"/>
      <c r="F10" s="2112"/>
      <c r="G10" s="2112"/>
      <c r="H10" s="2112"/>
      <c r="I10" s="2114"/>
      <c r="J10" s="2113"/>
      <c r="K10" s="1143"/>
      <c r="L10" s="1144"/>
      <c r="M10" s="395"/>
      <c r="N10" s="1146"/>
      <c r="P10" s="2115"/>
      <c r="Q10" s="2115"/>
      <c r="R10" s="237"/>
      <c r="S10" s="1062"/>
      <c r="T10" s="163" t="s">
        <v>337</v>
      </c>
      <c r="U10" s="251"/>
      <c r="V10" s="251"/>
      <c r="W10" s="251"/>
      <c r="X10" s="251"/>
      <c r="Y10" s="251"/>
      <c r="Z10" s="251"/>
      <c r="AA10" s="251"/>
      <c r="AB10" s="251"/>
      <c r="AC10" s="251"/>
      <c r="AD10" s="251"/>
      <c r="AE10" s="251"/>
      <c r="AF10" s="251"/>
      <c r="AG10" s="251"/>
      <c r="AH10" s="251"/>
      <c r="AI10" s="251"/>
      <c r="AJ10" s="251"/>
      <c r="AK10" s="251"/>
      <c r="AL10" s="206"/>
      <c r="AM10" s="2136"/>
      <c r="AO10" s="368"/>
      <c r="AP10" s="368" t="str">
        <f t="shared" si="0"/>
        <v>Добавить вид теплоносителя (параметры теплоносителя)</v>
      </c>
      <c r="AQ10" s="368"/>
      <c r="AR10" s="368"/>
    </row>
    <row r="11" spans="1:44" ht="15" hidden="1" customHeight="1">
      <c r="A11" s="1143"/>
      <c r="B11" s="1143"/>
      <c r="C11" s="1143"/>
      <c r="D11" s="1143"/>
      <c r="E11" s="2112"/>
      <c r="F11" s="2112"/>
      <c r="G11" s="2112"/>
      <c r="H11" s="2112"/>
      <c r="I11" s="2113"/>
      <c r="J11" s="1143"/>
      <c r="K11" s="1143"/>
      <c r="L11" s="1144"/>
      <c r="M11" s="395"/>
      <c r="P11" s="2115"/>
      <c r="Q11" s="1112"/>
      <c r="R11" s="237"/>
      <c r="S11" s="1062"/>
      <c r="T11" s="248" t="s">
        <v>338</v>
      </c>
      <c r="U11" s="251"/>
      <c r="V11" s="251"/>
      <c r="W11" s="251"/>
      <c r="X11" s="251"/>
      <c r="Y11" s="251"/>
      <c r="Z11" s="251"/>
      <c r="AA11" s="251"/>
      <c r="AB11" s="251"/>
      <c r="AC11" s="250"/>
      <c r="AD11" s="251"/>
      <c r="AE11" s="251"/>
      <c r="AF11" s="251"/>
      <c r="AG11" s="251"/>
      <c r="AH11" s="251"/>
      <c r="AI11" s="251"/>
      <c r="AJ11" s="251"/>
      <c r="AK11" s="250"/>
      <c r="AL11" s="251"/>
      <c r="AM11" s="178"/>
      <c r="AO11" s="368"/>
      <c r="AP11" s="368" t="str">
        <f t="shared" si="0"/>
        <v>Добавить группу потребителей</v>
      </c>
      <c r="AQ11" s="368"/>
      <c r="AR11" s="368"/>
    </row>
    <row r="12" spans="1:44" ht="14.25" hidden="1" customHeight="1">
      <c r="A12" s="1143"/>
      <c r="B12" s="1143"/>
      <c r="C12" s="1143"/>
      <c r="D12" s="1143"/>
      <c r="E12" s="2112"/>
      <c r="F12" s="2112"/>
      <c r="G12" s="2112"/>
      <c r="H12" s="2111"/>
      <c r="I12" s="1143"/>
      <c r="J12" s="1143"/>
      <c r="K12" s="1143"/>
      <c r="L12" s="1144"/>
      <c r="M12" s="1145"/>
      <c r="N12" s="1145"/>
      <c r="O12" s="395"/>
      <c r="P12" s="241"/>
      <c r="Q12" s="260"/>
      <c r="R12" s="236"/>
      <c r="S12" s="1166"/>
      <c r="T12" s="1167"/>
      <c r="U12" s="1168"/>
      <c r="V12" s="1168"/>
      <c r="W12" s="1168"/>
      <c r="X12" s="1168"/>
      <c r="Y12" s="1168"/>
      <c r="Z12" s="1168"/>
      <c r="AA12" s="1168"/>
      <c r="AB12" s="1168"/>
      <c r="AC12" s="1168"/>
      <c r="AD12" s="1168"/>
      <c r="AE12" s="1168"/>
      <c r="AF12" s="1168"/>
      <c r="AG12" s="1168"/>
      <c r="AH12" s="1168"/>
      <c r="AI12" s="1168"/>
      <c r="AJ12" s="1168"/>
      <c r="AK12" s="1168"/>
      <c r="AL12" s="1168"/>
      <c r="AM12" s="1169"/>
      <c r="AO12" s="368"/>
      <c r="AP12" s="368" t="str">
        <f t="shared" si="0"/>
        <v/>
      </c>
      <c r="AQ12" s="368"/>
      <c r="AR12" s="368"/>
    </row>
    <row r="13" spans="1:44" s="1686" customFormat="1" ht="0.75" hidden="1" customHeight="1">
      <c r="A13" s="1096"/>
      <c r="B13" s="1096"/>
      <c r="C13" s="1096"/>
      <c r="D13" s="1096"/>
      <c r="E13" s="2112"/>
      <c r="F13" s="2112"/>
      <c r="G13" s="2111"/>
      <c r="H13" s="1096"/>
      <c r="I13" s="1096"/>
      <c r="J13" s="1096"/>
      <c r="K13" s="1096"/>
      <c r="L13" s="1120"/>
      <c r="M13" s="1097"/>
      <c r="N13" s="1097"/>
      <c r="P13" s="1098"/>
      <c r="Q13" s="1099"/>
      <c r="R13" s="1098"/>
      <c r="S13" s="1100"/>
      <c r="T13" s="1101" t="s">
        <v>340</v>
      </c>
      <c r="U13" s="1102"/>
      <c r="V13" s="1102"/>
      <c r="W13" s="1102"/>
      <c r="X13" s="1102"/>
      <c r="Y13" s="1102"/>
      <c r="Z13" s="1102"/>
      <c r="AA13" s="1102"/>
      <c r="AB13" s="1102"/>
      <c r="AC13" s="1102"/>
      <c r="AD13" s="1102"/>
      <c r="AE13" s="1102"/>
      <c r="AF13" s="1102"/>
      <c r="AG13" s="1102"/>
      <c r="AH13" s="1102"/>
      <c r="AI13" s="1102"/>
      <c r="AJ13" s="1102"/>
      <c r="AK13" s="1102"/>
      <c r="AL13" s="1102"/>
      <c r="AM13" s="1102"/>
      <c r="AO13" s="598"/>
      <c r="AP13" s="598" t="str">
        <f t="shared" si="0"/>
        <v>Добавить источник для дифференциации</v>
      </c>
      <c r="AQ13" s="598"/>
      <c r="AR13" s="598"/>
    </row>
    <row r="14" spans="1:44" s="1686" customFormat="1" ht="0.75" hidden="1" customHeight="1">
      <c r="A14" s="1096"/>
      <c r="B14" s="1096"/>
      <c r="C14" s="1096"/>
      <c r="D14" s="1096"/>
      <c r="E14" s="2112"/>
      <c r="F14" s="2111"/>
      <c r="G14" s="1096"/>
      <c r="H14" s="1096"/>
      <c r="I14" s="1096"/>
      <c r="J14" s="1096"/>
      <c r="K14" s="1096"/>
      <c r="L14" s="1120"/>
      <c r="M14" s="1103"/>
      <c r="N14" s="1103"/>
      <c r="P14" s="1098"/>
      <c r="Q14" s="1099"/>
      <c r="R14" s="1098"/>
      <c r="S14" s="1104"/>
      <c r="T14" s="1105" t="s">
        <v>341</v>
      </c>
      <c r="U14" s="1106"/>
      <c r="V14" s="1106"/>
      <c r="W14" s="1106"/>
      <c r="X14" s="1106"/>
      <c r="Y14" s="1106"/>
      <c r="Z14" s="1106"/>
      <c r="AA14" s="1106"/>
      <c r="AB14" s="1106"/>
      <c r="AC14" s="1106"/>
      <c r="AD14" s="1106"/>
      <c r="AE14" s="1106"/>
      <c r="AF14" s="1106"/>
      <c r="AG14" s="1106"/>
      <c r="AH14" s="1106"/>
      <c r="AI14" s="1106"/>
      <c r="AJ14" s="1106"/>
      <c r="AK14" s="1106"/>
      <c r="AL14" s="1106"/>
      <c r="AM14" s="1106"/>
      <c r="AO14" s="598"/>
      <c r="AP14" s="598" t="str">
        <f t="shared" si="0"/>
        <v>Добавить централизованную систему для дифференциации</v>
      </c>
      <c r="AQ14" s="598"/>
      <c r="AR14" s="598"/>
    </row>
    <row r="15" spans="1:44" s="1686" customFormat="1" ht="0.75" hidden="1" customHeight="1">
      <c r="A15" s="1096"/>
      <c r="B15" s="1096"/>
      <c r="C15" s="1096"/>
      <c r="D15" s="1096"/>
      <c r="E15" s="2111"/>
      <c r="F15" s="1096"/>
      <c r="G15" s="1096"/>
      <c r="H15" s="1096"/>
      <c r="I15" s="1096"/>
      <c r="J15" s="1096"/>
      <c r="K15" s="1096"/>
      <c r="L15" s="1120"/>
      <c r="M15" s="1103"/>
      <c r="N15" s="1103"/>
      <c r="P15" s="1098"/>
      <c r="Q15" s="1099"/>
      <c r="R15" s="1098"/>
      <c r="S15" s="1104"/>
      <c r="T15" s="1107" t="s">
        <v>342</v>
      </c>
      <c r="U15" s="1106"/>
      <c r="V15" s="1106"/>
      <c r="W15" s="1106"/>
      <c r="X15" s="1106"/>
      <c r="Y15" s="1106"/>
      <c r="Z15" s="1106"/>
      <c r="AA15" s="1106"/>
      <c r="AB15" s="1106"/>
      <c r="AC15" s="1106"/>
      <c r="AD15" s="1106"/>
      <c r="AE15" s="1106"/>
      <c r="AF15" s="1106"/>
      <c r="AG15" s="1106"/>
      <c r="AH15" s="1106"/>
      <c r="AI15" s="1106"/>
      <c r="AJ15" s="1106"/>
      <c r="AK15" s="1106"/>
      <c r="AL15" s="1106"/>
      <c r="AM15" s="1106"/>
      <c r="AO15" s="598"/>
      <c r="AP15" s="598" t="str">
        <f t="shared" si="0"/>
        <v>Добавить территорию для дифференциации</v>
      </c>
      <c r="AQ15" s="598"/>
      <c r="AR15" s="598"/>
    </row>
    <row r="16" spans="1:44" ht="14.25" hidden="1" customHeight="1">
      <c r="AC16" s="210"/>
      <c r="AK16" s="210"/>
    </row>
    <row r="17" spans="1:44" ht="14.25" hidden="1" customHeight="1">
      <c r="AD17" s="1140"/>
      <c r="AE17" s="1140"/>
      <c r="AF17" s="1140"/>
      <c r="AG17" s="1141"/>
      <c r="AH17" s="2108"/>
      <c r="AI17" s="2107" t="s">
        <v>16</v>
      </c>
      <c r="AJ17" s="2108"/>
      <c r="AK17" s="2107" t="s">
        <v>16</v>
      </c>
    </row>
    <row r="18" spans="1:44" ht="14.25" hidden="1" customHeight="1">
      <c r="AD18" s="1140"/>
      <c r="AE18" s="1140"/>
      <c r="AF18" s="1140"/>
      <c r="AG18" s="211" t="str">
        <f>AH17&amp;"-"&amp;AJ17</f>
        <v>-</v>
      </c>
      <c r="AH18" s="2107"/>
      <c r="AI18" s="2107"/>
      <c r="AJ18" s="2107"/>
      <c r="AK18" s="2107"/>
    </row>
    <row r="19" spans="1:44" ht="14.25" hidden="1" customHeight="1">
      <c r="AK19" s="210"/>
    </row>
    <row r="20" spans="1:44" s="1687" customFormat="1" ht="22.5" hidden="1" customHeight="1">
      <c r="L20" s="1110"/>
      <c r="M20" s="1142"/>
      <c r="N20" s="1142"/>
      <c r="O20" s="1147" t="s">
        <v>343</v>
      </c>
      <c r="P20" s="1142"/>
      <c r="Q20" s="1151"/>
      <c r="R20" s="1151"/>
      <c r="S20" s="556"/>
      <c r="Z20" s="1147"/>
      <c r="AB20" s="1147"/>
      <c r="AC20" s="1146"/>
      <c r="AH20" s="1147"/>
      <c r="AJ20" s="1147"/>
      <c r="AK20" s="1146"/>
      <c r="AN20" s="379"/>
      <c r="AO20" s="379"/>
      <c r="AP20" s="379"/>
      <c r="AQ20" s="379"/>
      <c r="AR20" s="379"/>
    </row>
    <row r="21" spans="1:44" s="1687" customFormat="1" ht="14.25" hidden="1" customHeight="1">
      <c r="L21" s="1110"/>
      <c r="M21" s="1142"/>
      <c r="N21" s="1142"/>
      <c r="O21" s="1142"/>
      <c r="P21" s="1142"/>
      <c r="Q21" s="1151"/>
      <c r="R21" s="1151"/>
      <c r="S21" s="556"/>
      <c r="AC21" s="1146"/>
      <c r="AK21" s="1146"/>
      <c r="AN21" s="379"/>
      <c r="AO21" s="379"/>
      <c r="AP21" s="379"/>
      <c r="AQ21" s="379"/>
      <c r="AR21" s="379"/>
    </row>
    <row r="22" spans="1:44" s="1687" customFormat="1" ht="14.25" hidden="1" customHeight="1">
      <c r="L22" s="1110"/>
      <c r="M22" s="1142"/>
      <c r="N22" s="1142"/>
      <c r="O22" s="1144" t="s">
        <v>344</v>
      </c>
      <c r="P22" s="1142"/>
      <c r="Q22" s="1151"/>
      <c r="R22" s="1151"/>
      <c r="S22" s="556"/>
      <c r="T22" s="929" t="s">
        <v>345</v>
      </c>
      <c r="AA22" s="86" t="s">
        <v>346</v>
      </c>
      <c r="AC22" s="86" t="s">
        <v>347</v>
      </c>
      <c r="AD22" s="929" t="s">
        <v>345</v>
      </c>
      <c r="AI22" s="86" t="s">
        <v>348</v>
      </c>
      <c r="AK22" s="86" t="s">
        <v>347</v>
      </c>
      <c r="AN22" s="379"/>
      <c r="AO22" s="379"/>
      <c r="AP22" s="379"/>
      <c r="AQ22" s="379"/>
      <c r="AR22" s="379"/>
    </row>
    <row r="23" spans="1:44" ht="14.25" hidden="1" customHeight="1">
      <c r="O23" s="1144"/>
    </row>
    <row r="24" spans="1:44" ht="14.25" hidden="1" customHeight="1">
      <c r="O24" s="1144"/>
    </row>
    <row r="25" spans="1:44" ht="14.25" customHeight="1">
      <c r="Q25" s="261"/>
      <c r="R25" s="261"/>
      <c r="S25" s="1059"/>
      <c r="T25" s="246"/>
      <c r="U25" s="246"/>
      <c r="V25" s="377"/>
      <c r="W25" s="377"/>
      <c r="X25" s="377"/>
      <c r="Y25" s="377"/>
      <c r="Z25" s="377"/>
      <c r="AA25" s="377"/>
      <c r="AB25" s="377"/>
      <c r="AC25" s="377"/>
      <c r="AD25" s="377"/>
      <c r="AE25" s="377"/>
      <c r="AF25" s="377"/>
      <c r="AG25" s="377"/>
      <c r="AH25" s="377"/>
      <c r="AI25" s="377"/>
      <c r="AJ25" s="377"/>
      <c r="AK25" s="377"/>
    </row>
    <row r="26" spans="1:44" ht="51" customHeight="1">
      <c r="Q26" s="261"/>
      <c r="R26" s="261"/>
      <c r="S26" s="208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88"/>
      <c r="U26" s="2088"/>
      <c r="V26" s="2088"/>
      <c r="W26" s="2088"/>
      <c r="X26" s="2088"/>
      <c r="Y26" s="2088"/>
      <c r="Z26" s="2088"/>
      <c r="AA26" s="2088"/>
      <c r="AB26" s="2088"/>
      <c r="AC26" s="2088"/>
      <c r="AD26" s="2088"/>
      <c r="AE26" s="2088"/>
      <c r="AF26" s="2088"/>
      <c r="AG26" s="2088"/>
      <c r="AH26" s="2088"/>
      <c r="AI26" s="2088"/>
      <c r="AJ26" s="2088"/>
      <c r="AK26" s="1019"/>
    </row>
    <row r="27" spans="1:44" ht="14.25" customHeight="1">
      <c r="Q27" s="261"/>
      <c r="R27" s="261"/>
      <c r="S27" s="2059" t="e">
        <f>IF(org=0,"Не определено",org)</f>
        <v>#REF!</v>
      </c>
      <c r="T27" s="2059"/>
      <c r="U27" s="2059"/>
      <c r="V27" s="2059"/>
      <c r="W27" s="2059"/>
      <c r="X27" s="2059"/>
      <c r="Y27" s="2059"/>
      <c r="Z27" s="2059"/>
      <c r="AA27" s="2059"/>
      <c r="AB27" s="2059"/>
      <c r="AC27" s="2059"/>
      <c r="AD27" s="2059"/>
      <c r="AE27" s="2059"/>
      <c r="AF27" s="2059"/>
      <c r="AG27" s="2059"/>
      <c r="AH27" s="2059"/>
      <c r="AI27" s="2059"/>
      <c r="AJ27" s="2059"/>
      <c r="AK27" s="1019"/>
    </row>
    <row r="28" spans="1:44" ht="14.25" hidden="1" customHeight="1">
      <c r="Q28" s="261"/>
      <c r="R28" s="261"/>
      <c r="S28" s="1059"/>
      <c r="T28" s="246"/>
      <c r="U28" s="246"/>
      <c r="V28" s="203"/>
      <c r="W28" s="203"/>
      <c r="X28" s="203"/>
      <c r="Y28" s="203"/>
      <c r="Z28" s="203"/>
      <c r="AA28" s="203"/>
      <c r="AB28" s="203"/>
      <c r="AC28" s="203"/>
      <c r="AD28" s="203"/>
      <c r="AE28" s="203"/>
      <c r="AF28" s="203"/>
      <c r="AG28" s="203"/>
      <c r="AH28" s="203"/>
      <c r="AI28" s="203"/>
      <c r="AJ28" s="203"/>
      <c r="AK28" s="203"/>
      <c r="AL28" s="377"/>
    </row>
    <row r="29" spans="1:44" s="1692" customFormat="1" ht="25.5" hidden="1" customHeight="1">
      <c r="A29" s="1148"/>
      <c r="B29" s="1148"/>
      <c r="C29" s="1148"/>
      <c r="D29" s="1148"/>
      <c r="E29" s="1148"/>
      <c r="F29" s="1148"/>
      <c r="G29" s="1148"/>
      <c r="H29" s="1148"/>
      <c r="I29" s="1148"/>
      <c r="J29" s="1148"/>
      <c r="K29" s="1148"/>
      <c r="L29" s="1149"/>
      <c r="M29" s="1148"/>
      <c r="N29" s="1148"/>
      <c r="O29" s="1148"/>
      <c r="S29" s="2101" t="s">
        <v>6</v>
      </c>
      <c r="T29" s="2101"/>
      <c r="U29" s="1152"/>
      <c r="V29" s="2103" t="e">
        <f>IF(TITLE_NAME_OR_PR_CHANGE="",IF(TITLE_NAME_OR_PR="","",TITLE_NAME_OR_PR),TITLE_NAME_OR_PR_CHANGE)</f>
        <v>#REF!</v>
      </c>
      <c r="W29" s="2103"/>
      <c r="X29" s="2103"/>
      <c r="Y29" s="2103"/>
      <c r="Z29" s="2103"/>
      <c r="AA29" s="2103"/>
      <c r="AB29" s="2103"/>
      <c r="AC29" s="209"/>
      <c r="AD29" s="2103" t="e">
        <f>IF(TITLE_NAME_OR_PR_CHANGE="",IF(TITLE_NAME_OR_PR="","",TITLE_NAME_OR_PR),TITLE_NAME_OR_PR_CHANGE)</f>
        <v>#REF!</v>
      </c>
      <c r="AE29" s="2103"/>
      <c r="AF29" s="2103"/>
      <c r="AG29" s="2103"/>
      <c r="AH29" s="2103"/>
      <c r="AI29" s="2103"/>
      <c r="AJ29" s="2103"/>
      <c r="AK29" s="209"/>
      <c r="AL29" s="209"/>
      <c r="AM29" s="157"/>
      <c r="AN29" s="252"/>
      <c r="AO29" s="252"/>
      <c r="AP29" s="252"/>
      <c r="AQ29" s="252"/>
      <c r="AR29" s="252"/>
    </row>
    <row r="30" spans="1:44" s="1692" customFormat="1" ht="18.75" hidden="1" customHeight="1">
      <c r="A30" s="1148"/>
      <c r="B30" s="1148"/>
      <c r="C30" s="1148"/>
      <c r="D30" s="1148"/>
      <c r="E30" s="1148"/>
      <c r="F30" s="1148"/>
      <c r="G30" s="1148"/>
      <c r="H30" s="1148"/>
      <c r="I30" s="1148"/>
      <c r="J30" s="1148"/>
      <c r="K30" s="1148"/>
      <c r="L30" s="1149"/>
      <c r="M30" s="1148"/>
      <c r="N30" s="1148"/>
      <c r="O30" s="1148"/>
      <c r="S30" s="2101" t="s">
        <v>349</v>
      </c>
      <c r="T30" s="2101"/>
      <c r="U30" s="1152"/>
      <c r="V30" s="2102" t="e">
        <f>IF(TITLE_DATE_PR_CHANGE="",IF(TITLE_DATE_PR="","",TITLE_DATE_PR),TITLE_DATE_PR_CHANGE)</f>
        <v>#REF!</v>
      </c>
      <c r="W30" s="2102"/>
      <c r="X30" s="2102"/>
      <c r="Y30" s="2102"/>
      <c r="Z30" s="2102"/>
      <c r="AA30" s="2102"/>
      <c r="AB30" s="2102"/>
      <c r="AC30" s="209"/>
      <c r="AD30" s="2102" t="e">
        <f>IF(TITLE_DATE_PR_CHANGE="",IF(TITLE_DATE_PR="","",TITLE_DATE_PR),TITLE_DATE_PR_CHANGE)</f>
        <v>#REF!</v>
      </c>
      <c r="AE30" s="2102"/>
      <c r="AF30" s="2102"/>
      <c r="AG30" s="2102"/>
      <c r="AH30" s="2102"/>
      <c r="AI30" s="2102"/>
      <c r="AJ30" s="2102"/>
      <c r="AK30" s="209"/>
      <c r="AL30" s="209"/>
      <c r="AM30" s="157"/>
      <c r="AN30" s="252"/>
      <c r="AO30" s="252"/>
      <c r="AP30" s="252"/>
      <c r="AQ30" s="252"/>
      <c r="AR30" s="252"/>
    </row>
    <row r="31" spans="1:44" s="1692" customFormat="1" ht="18.75" hidden="1" customHeight="1">
      <c r="A31" s="1148"/>
      <c r="B31" s="1148"/>
      <c r="C31" s="1148"/>
      <c r="D31" s="1148"/>
      <c r="E31" s="1148"/>
      <c r="F31" s="1148"/>
      <c r="G31" s="1148"/>
      <c r="H31" s="1148"/>
      <c r="I31" s="1148"/>
      <c r="J31" s="1148"/>
      <c r="K31" s="1148"/>
      <c r="L31" s="1149"/>
      <c r="M31" s="1148"/>
      <c r="N31" s="1148"/>
      <c r="O31" s="1148"/>
      <c r="S31" s="2101" t="s">
        <v>350</v>
      </c>
      <c r="T31" s="2101"/>
      <c r="U31" s="1152"/>
      <c r="V31" s="2103" t="e">
        <f>IF(TITLE_NUMBER_PR_CHANGE="",IF(TITLE_NUMBER_PR="","",TITLE_NUMBER_PR),TITLE_NUMBER_PR_CHANGE)</f>
        <v>#REF!</v>
      </c>
      <c r="W31" s="2103"/>
      <c r="X31" s="2103"/>
      <c r="Y31" s="2103"/>
      <c r="Z31" s="2103"/>
      <c r="AA31" s="2103"/>
      <c r="AB31" s="2103"/>
      <c r="AC31" s="209"/>
      <c r="AD31" s="2103" t="e">
        <f>IF(TITLE_NUMBER_PR_CHANGE="",IF(TITLE_NUMBER_PR="","",TITLE_NUMBER_PR),TITLE_NUMBER_PR_CHANGE)</f>
        <v>#REF!</v>
      </c>
      <c r="AE31" s="2103"/>
      <c r="AF31" s="2103"/>
      <c r="AG31" s="2103"/>
      <c r="AH31" s="2103"/>
      <c r="AI31" s="2103"/>
      <c r="AJ31" s="2103"/>
      <c r="AK31" s="209"/>
      <c r="AL31" s="209"/>
      <c r="AM31" s="157"/>
      <c r="AN31" s="252"/>
      <c r="AO31" s="252"/>
      <c r="AP31" s="252"/>
      <c r="AQ31" s="252"/>
      <c r="AR31" s="252"/>
    </row>
    <row r="32" spans="1:44" s="1692" customFormat="1" ht="18.75" hidden="1" customHeight="1">
      <c r="A32" s="1148"/>
      <c r="B32" s="1148"/>
      <c r="C32" s="1148"/>
      <c r="D32" s="1148"/>
      <c r="E32" s="1148"/>
      <c r="F32" s="1148"/>
      <c r="G32" s="1148"/>
      <c r="H32" s="1148"/>
      <c r="I32" s="1148"/>
      <c r="J32" s="1148"/>
      <c r="K32" s="1148"/>
      <c r="L32" s="1149"/>
      <c r="M32" s="1148"/>
      <c r="N32" s="1148"/>
      <c r="O32" s="1148"/>
      <c r="S32" s="2101" t="s">
        <v>7</v>
      </c>
      <c r="T32" s="2101"/>
      <c r="U32" s="1152"/>
      <c r="V32" s="2103" t="e">
        <f>IF(TITLE_IST_PUB_CHANGE="",IF(TITLE_IST_PUB="","",TITLE_IST_PUB),TITLE_IST_PUB_CHANGE)</f>
        <v>#REF!</v>
      </c>
      <c r="W32" s="2103"/>
      <c r="X32" s="2103"/>
      <c r="Y32" s="2103"/>
      <c r="Z32" s="2103"/>
      <c r="AA32" s="2103"/>
      <c r="AB32" s="2103"/>
      <c r="AC32" s="209"/>
      <c r="AD32" s="2103" t="e">
        <f>IF(TITLE_IST_PUB_CHANGE="",IF(TITLE_IST_PUB="","",TITLE_IST_PUB),TITLE_IST_PUB_CHANGE)</f>
        <v>#REF!</v>
      </c>
      <c r="AE32" s="2103"/>
      <c r="AF32" s="2103"/>
      <c r="AG32" s="2103"/>
      <c r="AH32" s="2103"/>
      <c r="AI32" s="2103"/>
      <c r="AJ32" s="2103"/>
      <c r="AK32" s="209"/>
      <c r="AL32" s="209"/>
      <c r="AM32" s="157"/>
      <c r="AN32" s="252"/>
      <c r="AO32" s="252"/>
      <c r="AP32" s="252"/>
      <c r="AQ32" s="252"/>
      <c r="AR32" s="252"/>
    </row>
    <row r="33" spans="1:44" ht="14.25" hidden="1" customHeight="1">
      <c r="Q33" s="261"/>
      <c r="R33" s="261"/>
      <c r="S33" s="1059"/>
      <c r="T33" s="246"/>
      <c r="U33" s="246"/>
      <c r="V33" s="203"/>
      <c r="W33" s="203"/>
      <c r="X33" s="203"/>
      <c r="Y33" s="203"/>
      <c r="Z33" s="203"/>
      <c r="AA33" s="203"/>
      <c r="AB33" s="203"/>
      <c r="AC33" s="203"/>
      <c r="AD33" s="203"/>
      <c r="AE33" s="203"/>
      <c r="AF33" s="203"/>
      <c r="AG33" s="203"/>
      <c r="AH33" s="203"/>
      <c r="AI33" s="203"/>
      <c r="AJ33" s="203"/>
      <c r="AK33" s="203"/>
      <c r="AL33" s="377"/>
    </row>
    <row r="34" spans="1:44" s="1692" customFormat="1" ht="18.75" hidden="1" customHeight="1">
      <c r="A34" s="1148"/>
      <c r="B34" s="1148"/>
      <c r="C34" s="1148"/>
      <c r="D34" s="1148"/>
      <c r="E34" s="1148"/>
      <c r="F34" s="1148"/>
      <c r="G34" s="1148"/>
      <c r="H34" s="1148"/>
      <c r="I34" s="1148"/>
      <c r="J34" s="1148"/>
      <c r="K34" s="1148"/>
      <c r="L34" s="1149"/>
      <c r="M34" s="1148"/>
      <c r="N34" s="1148"/>
      <c r="O34" s="1148"/>
      <c r="S34" s="2101" t="s">
        <v>351</v>
      </c>
      <c r="T34" s="2101"/>
      <c r="U34" s="1152"/>
      <c r="V34" s="2102" t="e">
        <f>IF(TITLE_DATE_PR_CHANGE="",IF(TITLE_DATE_PR="","",TITLE_DATE_PR),TITLE_DATE_PR_CHANGE)</f>
        <v>#REF!</v>
      </c>
      <c r="W34" s="2102"/>
      <c r="X34" s="2102"/>
      <c r="Y34" s="2102"/>
      <c r="Z34" s="2102"/>
      <c r="AA34" s="2102"/>
      <c r="AB34" s="2102"/>
      <c r="AC34" s="209"/>
      <c r="AD34" s="2102" t="e">
        <f>IF(TITLE_DATE_PR_CHANGE="",IF(TITLE_DATE_PR="","",TITLE_DATE_PR),TITLE_DATE_PR_CHANGE)</f>
        <v>#REF!</v>
      </c>
      <c r="AE34" s="2102"/>
      <c r="AF34" s="2102"/>
      <c r="AG34" s="2102"/>
      <c r="AH34" s="2102"/>
      <c r="AI34" s="2102"/>
      <c r="AJ34" s="2102"/>
      <c r="AK34" s="209"/>
      <c r="AL34" s="209"/>
      <c r="AM34" s="157"/>
      <c r="AN34" s="252"/>
      <c r="AO34" s="252"/>
      <c r="AP34" s="252"/>
      <c r="AQ34" s="252"/>
      <c r="AR34" s="252"/>
    </row>
    <row r="35" spans="1:44" s="1692" customFormat="1" ht="18.75" hidden="1" customHeight="1">
      <c r="A35" s="1148"/>
      <c r="B35" s="1148"/>
      <c r="C35" s="1148"/>
      <c r="D35" s="1148"/>
      <c r="E35" s="1148"/>
      <c r="F35" s="1148"/>
      <c r="G35" s="1148"/>
      <c r="H35" s="1148"/>
      <c r="I35" s="1148"/>
      <c r="J35" s="1148"/>
      <c r="K35" s="1148"/>
      <c r="L35" s="1149"/>
      <c r="M35" s="1148"/>
      <c r="N35" s="1148"/>
      <c r="O35" s="1148"/>
      <c r="S35" s="2101" t="s">
        <v>352</v>
      </c>
      <c r="T35" s="2101"/>
      <c r="U35" s="1152"/>
      <c r="V35" s="2103" t="e">
        <f>IF(TITLE_NUMBER_PR_CHANGE="",IF(TITLE_NUMBER_PR="","",TITLE_NUMBER_PR),TITLE_NUMBER_PR_CHANGE)</f>
        <v>#REF!</v>
      </c>
      <c r="W35" s="2103"/>
      <c r="X35" s="2103"/>
      <c r="Y35" s="2103"/>
      <c r="Z35" s="2103"/>
      <c r="AA35" s="2103"/>
      <c r="AB35" s="2103"/>
      <c r="AC35" s="209"/>
      <c r="AD35" s="2103" t="e">
        <f>IF(TITLE_NUMBER_PR_CHANGE="",IF(TITLE_NUMBER_PR="","",TITLE_NUMBER_PR),TITLE_NUMBER_PR_CHANGE)</f>
        <v>#REF!</v>
      </c>
      <c r="AE35" s="2103"/>
      <c r="AF35" s="2103"/>
      <c r="AG35" s="2103"/>
      <c r="AH35" s="2103"/>
      <c r="AI35" s="2103"/>
      <c r="AJ35" s="2103"/>
      <c r="AK35" s="209"/>
      <c r="AL35" s="209"/>
      <c r="AM35" s="157"/>
      <c r="AN35" s="252"/>
      <c r="AO35" s="252"/>
      <c r="AP35" s="252"/>
      <c r="AQ35" s="252"/>
      <c r="AR35" s="252"/>
    </row>
    <row r="36" spans="1:44" s="1692" customFormat="1" ht="0" hidden="1" customHeight="1">
      <c r="A36" s="1148"/>
      <c r="B36" s="1148"/>
      <c r="C36" s="1148"/>
      <c r="D36" s="1148"/>
      <c r="E36" s="1148"/>
      <c r="F36" s="1148"/>
      <c r="G36" s="1148"/>
      <c r="H36" s="1148"/>
      <c r="I36" s="1148"/>
      <c r="J36" s="1148"/>
      <c r="K36" s="1148"/>
      <c r="L36" s="1149"/>
      <c r="M36" s="1148"/>
      <c r="N36" s="1148"/>
      <c r="O36" s="1148"/>
      <c r="S36" s="205"/>
      <c r="T36" s="205"/>
      <c r="U36" s="1121"/>
      <c r="V36" s="209"/>
      <c r="W36" s="209"/>
      <c r="X36" s="209"/>
      <c r="Y36" s="209"/>
      <c r="Z36" s="209"/>
      <c r="AA36" s="209"/>
      <c r="AB36" s="209"/>
      <c r="AC36" s="155" t="s">
        <v>353</v>
      </c>
      <c r="AD36" s="209"/>
      <c r="AE36" s="209"/>
      <c r="AF36" s="209"/>
      <c r="AG36" s="209"/>
      <c r="AH36" s="209"/>
      <c r="AI36" s="209"/>
      <c r="AJ36" s="209"/>
      <c r="AK36" s="155" t="s">
        <v>353</v>
      </c>
      <c r="AN36" s="252"/>
      <c r="AO36" s="252"/>
      <c r="AP36" s="252"/>
      <c r="AQ36" s="252"/>
      <c r="AR36" s="252"/>
    </row>
    <row r="37" spans="1:44" ht="14.25" customHeight="1">
      <c r="Q37" s="261"/>
      <c r="R37" s="261"/>
      <c r="S37" s="1059"/>
      <c r="T37" s="246"/>
      <c r="U37" s="1020"/>
      <c r="V37" s="2123"/>
      <c r="W37" s="2123"/>
      <c r="X37" s="2123"/>
      <c r="Y37" s="2123"/>
      <c r="Z37" s="2123"/>
      <c r="AA37" s="2123"/>
      <c r="AB37" s="2123"/>
      <c r="AC37" s="2123"/>
      <c r="AD37" s="2123"/>
      <c r="AE37" s="2123"/>
      <c r="AF37" s="2123"/>
      <c r="AG37" s="2123"/>
      <c r="AH37" s="2123"/>
      <c r="AI37" s="2123"/>
      <c r="AJ37" s="2123"/>
      <c r="AK37" s="2123"/>
    </row>
    <row r="38" spans="1:44" ht="14.25" customHeight="1">
      <c r="Q38" s="261"/>
      <c r="R38" s="261"/>
      <c r="S38" s="2025" t="s">
        <v>224</v>
      </c>
      <c r="T38" s="2025"/>
      <c r="U38" s="2025"/>
      <c r="V38" s="2025"/>
      <c r="W38" s="2025"/>
      <c r="X38" s="2025"/>
      <c r="Y38" s="2025"/>
      <c r="Z38" s="2025"/>
      <c r="AA38" s="2025"/>
      <c r="AB38" s="2025"/>
      <c r="AC38" s="2025"/>
      <c r="AD38" s="2025"/>
      <c r="AE38" s="2025"/>
      <c r="AF38" s="2025"/>
      <c r="AG38" s="2025"/>
      <c r="AH38" s="2025"/>
      <c r="AI38" s="2025"/>
      <c r="AJ38" s="2025"/>
      <c r="AK38" s="2025"/>
      <c r="AL38" s="2025"/>
      <c r="AM38" s="2025" t="s">
        <v>225</v>
      </c>
    </row>
    <row r="39" spans="1:44" ht="14.25" customHeight="1">
      <c r="Q39" s="261"/>
      <c r="R39" s="261"/>
      <c r="S39" s="2124" t="s">
        <v>22</v>
      </c>
      <c r="T39" s="2068" t="s">
        <v>354</v>
      </c>
      <c r="U39" s="176"/>
      <c r="V39" s="2125" t="s">
        <v>355</v>
      </c>
      <c r="W39" s="2126"/>
      <c r="X39" s="2126"/>
      <c r="Y39" s="2126"/>
      <c r="Z39" s="2126"/>
      <c r="AA39" s="2126"/>
      <c r="AB39" s="2127"/>
      <c r="AC39" s="2128" t="s">
        <v>356</v>
      </c>
      <c r="AD39" s="2125" t="s">
        <v>355</v>
      </c>
      <c r="AE39" s="2126"/>
      <c r="AF39" s="2126"/>
      <c r="AG39" s="2126"/>
      <c r="AH39" s="2126"/>
      <c r="AI39" s="2126"/>
      <c r="AJ39" s="2127"/>
      <c r="AK39" s="2128" t="s">
        <v>357</v>
      </c>
      <c r="AL39" s="2131" t="s">
        <v>358</v>
      </c>
      <c r="AM39" s="2025"/>
    </row>
    <row r="40" spans="1:44" ht="33.75" customHeight="1">
      <c r="Q40" s="261"/>
      <c r="R40" s="261"/>
      <c r="S40" s="2124"/>
      <c r="T40" s="2068"/>
      <c r="U40" s="814"/>
      <c r="V40" s="2036" t="s">
        <v>359</v>
      </c>
      <c r="W40" s="2120"/>
      <c r="X40" s="1956" t="s">
        <v>361</v>
      </c>
      <c r="Y40" s="1958"/>
      <c r="Z40" s="1956" t="s">
        <v>362</v>
      </c>
      <c r="AA40" s="1957"/>
      <c r="AB40" s="1958"/>
      <c r="AC40" s="2129"/>
      <c r="AD40" s="2036" t="s">
        <v>359</v>
      </c>
      <c r="AE40" s="2120"/>
      <c r="AF40" s="1956" t="s">
        <v>361</v>
      </c>
      <c r="AG40" s="1958"/>
      <c r="AH40" s="1956" t="s">
        <v>362</v>
      </c>
      <c r="AI40" s="1957"/>
      <c r="AJ40" s="1958"/>
      <c r="AK40" s="2129"/>
      <c r="AL40" s="2132"/>
      <c r="AM40" s="2025"/>
    </row>
    <row r="41" spans="1:44" ht="33.75" customHeight="1">
      <c r="A41" s="1150"/>
      <c r="B41" s="1150" t="s">
        <v>73</v>
      </c>
      <c r="C41" s="1150" t="s">
        <v>74</v>
      </c>
      <c r="D41" s="1150" t="s">
        <v>75</v>
      </c>
      <c r="E41" s="1144" t="s">
        <v>363</v>
      </c>
      <c r="F41" s="1144" t="s">
        <v>364</v>
      </c>
      <c r="G41" s="1144" t="s">
        <v>365</v>
      </c>
      <c r="H41" s="1144" t="s">
        <v>366</v>
      </c>
      <c r="I41" s="1144" t="s">
        <v>367</v>
      </c>
      <c r="J41" s="1144" t="s">
        <v>368</v>
      </c>
      <c r="K41" s="1144" t="s">
        <v>369</v>
      </c>
      <c r="L41" s="1144" t="s">
        <v>344</v>
      </c>
      <c r="Q41" s="261"/>
      <c r="R41" s="261"/>
      <c r="S41" s="2124"/>
      <c r="T41" s="2068"/>
      <c r="U41" s="177"/>
      <c r="V41" s="2093"/>
      <c r="W41" s="2121"/>
      <c r="X41" s="995" t="s">
        <v>370</v>
      </c>
      <c r="Y41" s="995" t="s">
        <v>371</v>
      </c>
      <c r="Z41" s="1119" t="s">
        <v>372</v>
      </c>
      <c r="AA41" s="2073" t="s">
        <v>373</v>
      </c>
      <c r="AB41" s="2087"/>
      <c r="AC41" s="2130"/>
      <c r="AD41" s="2093"/>
      <c r="AE41" s="2121"/>
      <c r="AF41" s="995" t="s">
        <v>370</v>
      </c>
      <c r="AG41" s="995" t="s">
        <v>371</v>
      </c>
      <c r="AH41" s="1119" t="s">
        <v>372</v>
      </c>
      <c r="AI41" s="2073" t="s">
        <v>373</v>
      </c>
      <c r="AJ41" s="2087"/>
      <c r="AK41" s="2130"/>
      <c r="AL41" s="2133"/>
      <c r="AM41" s="2025"/>
    </row>
    <row r="42" spans="1:44" s="1621" customFormat="1" ht="11.25" hidden="1" customHeight="1">
      <c r="A42" s="1150"/>
      <c r="B42" s="1150"/>
      <c r="C42" s="1150"/>
      <c r="D42" s="1150"/>
      <c r="E42" s="1150"/>
      <c r="F42" s="1150"/>
      <c r="G42" s="1150"/>
      <c r="H42" s="1150"/>
      <c r="I42" s="1150"/>
      <c r="J42" s="1150"/>
      <c r="K42" s="1150"/>
      <c r="L42" s="1144"/>
      <c r="M42" s="1142"/>
      <c r="N42" s="1142"/>
      <c r="O42" s="1142"/>
      <c r="P42" s="1022"/>
      <c r="Q42" s="1023"/>
      <c r="R42" s="1038">
        <v>1</v>
      </c>
      <c r="S42" s="1061" t="s">
        <v>43</v>
      </c>
      <c r="T42" s="1039" t="s">
        <v>44</v>
      </c>
      <c r="U42" s="1021" t="str">
        <f ca="1">OFFSET(U42,0,-1)</f>
        <v>2</v>
      </c>
      <c r="V42" s="1116">
        <f ca="1">OFFSET(V42,0,-1)+1</f>
        <v>3</v>
      </c>
      <c r="W42" s="1116"/>
      <c r="X42" s="1116">
        <f ca="1">OFFSET(X42,0,-1)+1</f>
        <v>1</v>
      </c>
      <c r="Y42" s="1116">
        <f ca="1">OFFSET(Y42,0,-1)+1</f>
        <v>2</v>
      </c>
      <c r="Z42" s="1116">
        <f ca="1">OFFSET(Z42,0,-1)+1</f>
        <v>3</v>
      </c>
      <c r="AA42" s="2122">
        <f ca="1">OFFSET(AA42,0,-1)+1</f>
        <v>4</v>
      </c>
      <c r="AB42" s="2122"/>
      <c r="AC42" s="1116">
        <f ca="1">OFFSET(AC42,0,-2)+1</f>
        <v>5</v>
      </c>
      <c r="AD42" s="1116">
        <f ca="1">OFFSET(AD42,0,-1)+1</f>
        <v>6</v>
      </c>
      <c r="AE42" s="1116"/>
      <c r="AF42" s="1116">
        <f ca="1">OFFSET(AF42,0,-1)+1</f>
        <v>1</v>
      </c>
      <c r="AG42" s="1116">
        <f ca="1">OFFSET(AG42,0,-1)+1</f>
        <v>2</v>
      </c>
      <c r="AH42" s="1116">
        <f ca="1">OFFSET(AH42,0,-1)+1</f>
        <v>3</v>
      </c>
      <c r="AI42" s="2122">
        <f ca="1">OFFSET(AI42,0,-1)+1</f>
        <v>4</v>
      </c>
      <c r="AJ42" s="2122"/>
      <c r="AK42" s="1116">
        <f ca="1">OFFSET(AK42,0,-2)+1</f>
        <v>5</v>
      </c>
      <c r="AL42" s="1021">
        <f ca="1">OFFSET(AL42,0,-1)</f>
        <v>5</v>
      </c>
      <c r="AM42" s="1116">
        <f ca="1">OFFSET(AM42,0,-1)+1</f>
        <v>6</v>
      </c>
      <c r="AN42" s="379"/>
      <c r="AO42" s="379"/>
      <c r="AP42" s="379"/>
      <c r="AQ42" s="379"/>
      <c r="AR42" s="379"/>
    </row>
    <row r="43" spans="1:44" ht="21" customHeight="1">
      <c r="A43" s="1143" t="s">
        <v>106</v>
      </c>
      <c r="B43" s="1143"/>
      <c r="C43" s="1143"/>
      <c r="D43" s="1143"/>
      <c r="E43" s="2111">
        <v>1</v>
      </c>
      <c r="F43" s="1143"/>
      <c r="G43" s="1143"/>
      <c r="H43" s="1143"/>
      <c r="I43" s="1143"/>
      <c r="J43" s="1143"/>
      <c r="K43" s="1143"/>
      <c r="L43" s="1144"/>
      <c r="M43" s="1145"/>
      <c r="N43" s="1145"/>
      <c r="O43" s="1145"/>
      <c r="P43" s="242"/>
      <c r="Q43" s="241"/>
      <c r="R43" s="236"/>
      <c r="S43" s="1117">
        <f>INDEX(PT_DIFFERENTIATION_NUM_NTAR,MATCH(A43,PT_DIFFERENTIATION_NTAR_ID,0))</f>
        <v>0</v>
      </c>
      <c r="T43" s="173" t="s">
        <v>61</v>
      </c>
      <c r="U43" s="175"/>
      <c r="V43" s="2104"/>
      <c r="W43" s="2105"/>
      <c r="X43" s="2105"/>
      <c r="Y43" s="2105"/>
      <c r="Z43" s="2105"/>
      <c r="AA43" s="2105"/>
      <c r="AB43" s="2105"/>
      <c r="AC43" s="2106"/>
      <c r="AD43" s="2104" t="str">
        <f>INDEX(PT_DIFFERENTIATION_NTAR,MATCH(A43,PT_DIFFERENTIATION_NTAR_ID,0))</f>
        <v/>
      </c>
      <c r="AE43" s="2105"/>
      <c r="AF43" s="2105"/>
      <c r="AG43" s="2105"/>
      <c r="AH43" s="2105"/>
      <c r="AI43" s="2105"/>
      <c r="AJ43" s="2105"/>
      <c r="AK43" s="2105"/>
      <c r="AL43" s="2106"/>
      <c r="AM43" s="104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68"/>
      <c r="AP43" s="368" t="str">
        <f t="shared" ref="AP43:AP57" si="1">IF(T43="","",T43)</f>
        <v>Наименование тарифа</v>
      </c>
      <c r="AQ43" s="368"/>
      <c r="AR43" s="368"/>
    </row>
    <row r="44" spans="1:44" ht="21" customHeight="1">
      <c r="A44" s="1143" t="s">
        <v>106</v>
      </c>
      <c r="B44" s="1143" t="s">
        <v>107</v>
      </c>
      <c r="C44" s="1143"/>
      <c r="D44" s="1143"/>
      <c r="E44" s="2112"/>
      <c r="F44" s="2111">
        <v>1</v>
      </c>
      <c r="G44" s="1143"/>
      <c r="H44" s="1143"/>
      <c r="I44" s="1143"/>
      <c r="J44" s="1143"/>
      <c r="K44" s="1143"/>
      <c r="L44" s="1144"/>
      <c r="M44" s="1145"/>
      <c r="N44" s="1145"/>
      <c r="O44" s="1145"/>
      <c r="P44" s="1113"/>
      <c r="Q44" s="233"/>
      <c r="R44" s="234"/>
      <c r="S44" s="1117" t="str">
        <f>INDEX(PT_DIFFERENTIATION_NUM_TER,MATCH(B44,PT_DIFFERENTIATION_TER_ID,0))</f>
        <v>.</v>
      </c>
      <c r="T44" s="185" t="s">
        <v>323</v>
      </c>
      <c r="U44" s="175"/>
      <c r="V44" s="2104"/>
      <c r="W44" s="2105"/>
      <c r="X44" s="2105"/>
      <c r="Y44" s="2105"/>
      <c r="Z44" s="2105"/>
      <c r="AA44" s="2105"/>
      <c r="AB44" s="2105"/>
      <c r="AC44" s="2106"/>
      <c r="AD44" s="2104" t="str">
        <f>INDEX(PT_DIFFERENTIATION_TER,MATCH(B44,PT_DIFFERENTIATION_TER_ID,0))</f>
        <v/>
      </c>
      <c r="AE44" s="2105"/>
      <c r="AF44" s="2105"/>
      <c r="AG44" s="2105"/>
      <c r="AH44" s="2105"/>
      <c r="AI44" s="2105"/>
      <c r="AJ44" s="2105"/>
      <c r="AK44" s="2105"/>
      <c r="AL44" s="2106"/>
      <c r="AM44" s="1044" t="s">
        <v>324</v>
      </c>
      <c r="AO44" s="368"/>
      <c r="AP44" s="368" t="str">
        <f t="shared" si="1"/>
        <v>Территория действия тарифа</v>
      </c>
      <c r="AQ44" s="368"/>
      <c r="AR44" s="368"/>
    </row>
    <row r="45" spans="1:44" ht="23.25" customHeight="1">
      <c r="A45" s="1143" t="s">
        <v>106</v>
      </c>
      <c r="B45" s="1143" t="s">
        <v>107</v>
      </c>
      <c r="C45" s="1143" t="s">
        <v>108</v>
      </c>
      <c r="D45" s="1143"/>
      <c r="E45" s="2112"/>
      <c r="F45" s="2112"/>
      <c r="G45" s="2111">
        <v>1</v>
      </c>
      <c r="H45" s="1143"/>
      <c r="I45" s="1143"/>
      <c r="J45" s="1143"/>
      <c r="K45" s="1143"/>
      <c r="L45" s="1144"/>
      <c r="M45" s="1145"/>
      <c r="N45" s="1145"/>
      <c r="O45" s="1145"/>
      <c r="P45" s="235"/>
      <c r="Q45" s="233"/>
      <c r="R45" s="234"/>
      <c r="S45" s="1117" t="str">
        <f>INDEX(PT_DIFFERENTIATION_NUM_CS,MATCH(C45,PT_DIFFERENTIATION_CS_ID,0))</f>
        <v>..</v>
      </c>
      <c r="T45" s="186" t="s">
        <v>325</v>
      </c>
      <c r="U45" s="175"/>
      <c r="V45" s="2104"/>
      <c r="W45" s="2105"/>
      <c r="X45" s="2105"/>
      <c r="Y45" s="2105"/>
      <c r="Z45" s="2105"/>
      <c r="AA45" s="2105"/>
      <c r="AB45" s="2105"/>
      <c r="AC45" s="2106"/>
      <c r="AD45" s="2104" t="str">
        <f>INDEX(PT_DIFFERENTIATION_CS,MATCH(C45,PT_DIFFERENTIATION_CS_ID,0))</f>
        <v/>
      </c>
      <c r="AE45" s="2105"/>
      <c r="AF45" s="2105"/>
      <c r="AG45" s="2105"/>
      <c r="AH45" s="2105"/>
      <c r="AI45" s="2105"/>
      <c r="AJ45" s="2105"/>
      <c r="AK45" s="2105"/>
      <c r="AL45" s="2106"/>
      <c r="AM45" s="1044" t="s">
        <v>326</v>
      </c>
      <c r="AO45" s="368"/>
      <c r="AP45" s="368" t="str">
        <f t="shared" si="1"/>
        <v xml:space="preserve">Наименование системы теплоснабжения </v>
      </c>
      <c r="AQ45" s="368"/>
      <c r="AR45" s="368"/>
    </row>
    <row r="46" spans="1:44" ht="21" customHeight="1">
      <c r="A46" s="1143" t="s">
        <v>106</v>
      </c>
      <c r="B46" s="1143" t="s">
        <v>107</v>
      </c>
      <c r="C46" s="1143" t="s">
        <v>108</v>
      </c>
      <c r="D46" s="1143" t="s">
        <v>109</v>
      </c>
      <c r="E46" s="2112"/>
      <c r="F46" s="2112"/>
      <c r="G46" s="2112"/>
      <c r="H46" s="2111">
        <v>1</v>
      </c>
      <c r="I46" s="1143"/>
      <c r="J46" s="1143"/>
      <c r="K46" s="1143"/>
      <c r="L46" s="1144"/>
      <c r="M46" s="1145"/>
      <c r="N46" s="1145"/>
      <c r="O46" s="1145"/>
      <c r="P46" s="235"/>
      <c r="Q46" s="233"/>
      <c r="R46" s="234"/>
      <c r="S46" s="1117" t="str">
        <f>INDEX(PT_DIFFERENTIATION_NUM_IST_TE,MATCH(D46,PT_DIFFERENTIATION_IST_TE_ID,0))</f>
        <v>...</v>
      </c>
      <c r="T46" s="187" t="s">
        <v>327</v>
      </c>
      <c r="U46" s="175"/>
      <c r="V46" s="2104"/>
      <c r="W46" s="2105"/>
      <c r="X46" s="2105"/>
      <c r="Y46" s="2105"/>
      <c r="Z46" s="2105"/>
      <c r="AA46" s="2105"/>
      <c r="AB46" s="2105"/>
      <c r="AC46" s="2106"/>
      <c r="AD46" s="2104" t="str">
        <f>INDEX(PT_DIFFERENTIATION_IST_TE,MATCH(D46,PT_DIFFERENTIATION_IST_TE_ID,0))</f>
        <v/>
      </c>
      <c r="AE46" s="2105"/>
      <c r="AF46" s="2105"/>
      <c r="AG46" s="2105"/>
      <c r="AH46" s="2105"/>
      <c r="AI46" s="2105"/>
      <c r="AJ46" s="2105"/>
      <c r="AK46" s="2105"/>
      <c r="AL46" s="2106"/>
      <c r="AM46" s="1044" t="s">
        <v>328</v>
      </c>
      <c r="AO46" s="368"/>
      <c r="AP46" s="368" t="str">
        <f t="shared" si="1"/>
        <v xml:space="preserve">Источник тепловой энергии  </v>
      </c>
      <c r="AQ46" s="368"/>
      <c r="AR46" s="368"/>
    </row>
    <row r="47" spans="1:44" s="1622" customFormat="1" ht="0" hidden="1" customHeight="1">
      <c r="A47" s="1124" t="s">
        <v>106</v>
      </c>
      <c r="B47" s="1124" t="s">
        <v>107</v>
      </c>
      <c r="C47" s="1124" t="s">
        <v>108</v>
      </c>
      <c r="D47" s="1124" t="s">
        <v>109</v>
      </c>
      <c r="E47" s="2112"/>
      <c r="F47" s="2112"/>
      <c r="G47" s="2112"/>
      <c r="H47" s="2112"/>
      <c r="I47" s="2113" t="str">
        <f>S46&amp;".1"</f>
        <v>....1</v>
      </c>
      <c r="J47" s="1124"/>
      <c r="K47" s="1124"/>
      <c r="L47" s="1127" t="s">
        <v>329</v>
      </c>
      <c r="M47" s="378"/>
      <c r="N47" s="378"/>
      <c r="O47" s="378"/>
      <c r="P47" s="2115">
        <v>1</v>
      </c>
      <c r="Q47" s="1112"/>
      <c r="R47" s="237"/>
      <c r="S47" s="825"/>
      <c r="T47" s="1163"/>
      <c r="U47" s="1164"/>
      <c r="V47" s="2140"/>
      <c r="W47" s="2141"/>
      <c r="X47" s="2141"/>
      <c r="Y47" s="2141"/>
      <c r="Z47" s="2141"/>
      <c r="AA47" s="2141"/>
      <c r="AB47" s="2141"/>
      <c r="AC47" s="2142"/>
      <c r="AD47" s="2140"/>
      <c r="AE47" s="2141"/>
      <c r="AF47" s="2141"/>
      <c r="AG47" s="2141"/>
      <c r="AH47" s="2141"/>
      <c r="AI47" s="2141"/>
      <c r="AJ47" s="2141"/>
      <c r="AK47" s="2141"/>
      <c r="AL47" s="2142"/>
      <c r="AM47" s="1165"/>
      <c r="AO47" s="368"/>
      <c r="AP47" s="368" t="str">
        <f t="shared" si="1"/>
        <v/>
      </c>
      <c r="AQ47" s="368"/>
      <c r="AR47" s="368"/>
    </row>
    <row r="48" spans="1:44" ht="21" customHeight="1">
      <c r="A48" s="1143" t="s">
        <v>106</v>
      </c>
      <c r="B48" s="1143" t="s">
        <v>107</v>
      </c>
      <c r="C48" s="1143" t="s">
        <v>108</v>
      </c>
      <c r="D48" s="1143" t="s">
        <v>109</v>
      </c>
      <c r="E48" s="2112"/>
      <c r="F48" s="2112"/>
      <c r="G48" s="2112"/>
      <c r="H48" s="2112"/>
      <c r="I48" s="2114"/>
      <c r="J48" s="2113" t="str">
        <f>S46&amp;".1"</f>
        <v>....1</v>
      </c>
      <c r="K48" s="1143"/>
      <c r="L48" s="1144" t="s">
        <v>332</v>
      </c>
      <c r="P48" s="2115"/>
      <c r="Q48" s="2115">
        <v>1</v>
      </c>
      <c r="R48" s="238"/>
      <c r="S48" s="1117" t="str">
        <f>$J48</f>
        <v>....1</v>
      </c>
      <c r="T48" s="162" t="s">
        <v>333</v>
      </c>
      <c r="U48" s="175"/>
      <c r="V48" s="2098"/>
      <c r="W48" s="2099"/>
      <c r="X48" s="2099"/>
      <c r="Y48" s="2099"/>
      <c r="Z48" s="2099"/>
      <c r="AA48" s="2099"/>
      <c r="AB48" s="2099"/>
      <c r="AC48" s="2100"/>
      <c r="AD48" s="2098"/>
      <c r="AE48" s="2099"/>
      <c r="AF48" s="2099"/>
      <c r="AG48" s="2099"/>
      <c r="AH48" s="2099"/>
      <c r="AI48" s="2099"/>
      <c r="AJ48" s="2099"/>
      <c r="AK48" s="2099"/>
      <c r="AL48" s="2100"/>
      <c r="AM48" s="1044" t="s">
        <v>334</v>
      </c>
      <c r="AO48" s="368"/>
      <c r="AP48" s="368" t="str">
        <f t="shared" si="1"/>
        <v>Группа потребителей</v>
      </c>
      <c r="AQ48" s="368"/>
      <c r="AR48" s="368"/>
    </row>
    <row r="49" spans="1:44" ht="21" customHeight="1">
      <c r="A49" s="1143" t="s">
        <v>106</v>
      </c>
      <c r="B49" s="1143" t="s">
        <v>107</v>
      </c>
      <c r="C49" s="1143" t="s">
        <v>108</v>
      </c>
      <c r="D49" s="1143" t="s">
        <v>109</v>
      </c>
      <c r="E49" s="2112"/>
      <c r="F49" s="2112"/>
      <c r="G49" s="2112"/>
      <c r="H49" s="2112"/>
      <c r="I49" s="2114"/>
      <c r="J49" s="2114"/>
      <c r="K49" s="2113" t="str">
        <f>J48&amp;".1"</f>
        <v>....1.1</v>
      </c>
      <c r="L49" s="1144" t="s">
        <v>335</v>
      </c>
      <c r="P49" s="2115"/>
      <c r="Q49" s="2115"/>
      <c r="R49" s="238">
        <v>1</v>
      </c>
      <c r="S49" s="1117" t="str">
        <f>$K49</f>
        <v>....1.1</v>
      </c>
      <c r="T49" s="1128"/>
      <c r="U49" s="175"/>
      <c r="V49" s="576"/>
      <c r="W49" s="207"/>
      <c r="X49" s="576"/>
      <c r="Y49" s="1043"/>
      <c r="Z49" s="2116"/>
      <c r="AA49" s="2109" t="s">
        <v>16</v>
      </c>
      <c r="AB49" s="2116"/>
      <c r="AC49" s="2109" t="s">
        <v>16</v>
      </c>
      <c r="AD49" s="576"/>
      <c r="AE49" s="207"/>
      <c r="AF49" s="576"/>
      <c r="AG49" s="1043"/>
      <c r="AH49" s="2116"/>
      <c r="AI49" s="2109" t="s">
        <v>16</v>
      </c>
      <c r="AJ49" s="2118"/>
      <c r="AK49" s="2109" t="s">
        <v>16</v>
      </c>
      <c r="AL49" s="1129"/>
      <c r="AM49" s="2134" t="s">
        <v>376</v>
      </c>
      <c r="AN49" s="379" t="e">
        <f ca="1">STRCHECKDATE(V50:AL50)</f>
        <v>#NAME?</v>
      </c>
      <c r="AO49" s="368"/>
      <c r="AP49" s="368" t="str">
        <f t="shared" si="1"/>
        <v/>
      </c>
      <c r="AQ49" s="368"/>
      <c r="AR49" s="368"/>
    </row>
    <row r="50" spans="1:44" ht="0.75" customHeight="1">
      <c r="A50" s="1143" t="s">
        <v>106</v>
      </c>
      <c r="B50" s="1143" t="s">
        <v>107</v>
      </c>
      <c r="C50" s="1143" t="s">
        <v>108</v>
      </c>
      <c r="D50" s="1143" t="s">
        <v>109</v>
      </c>
      <c r="E50" s="2112"/>
      <c r="F50" s="2112"/>
      <c r="G50" s="2112"/>
      <c r="H50" s="2112"/>
      <c r="I50" s="2114"/>
      <c r="J50" s="2114"/>
      <c r="K50" s="2113"/>
      <c r="L50" s="1144"/>
      <c r="P50" s="2115"/>
      <c r="Q50" s="2115"/>
      <c r="R50" s="238"/>
      <c r="S50" s="1123"/>
      <c r="T50" s="175"/>
      <c r="U50" s="175"/>
      <c r="V50" s="207"/>
      <c r="W50" s="207"/>
      <c r="X50" s="207"/>
      <c r="Y50" s="211" t="str">
        <f>Z49&amp;"-"&amp;AB49</f>
        <v>-</v>
      </c>
      <c r="Z50" s="2117"/>
      <c r="AA50" s="2109"/>
      <c r="AB50" s="2117"/>
      <c r="AC50" s="2109"/>
      <c r="AD50" s="207"/>
      <c r="AE50" s="207"/>
      <c r="AF50" s="207"/>
      <c r="AG50" s="211" t="str">
        <f>AH49&amp;"-"&amp;AJ49</f>
        <v>-</v>
      </c>
      <c r="AH50" s="2117"/>
      <c r="AI50" s="2109"/>
      <c r="AJ50" s="2119"/>
      <c r="AK50" s="2109"/>
      <c r="AL50" s="1130"/>
      <c r="AM50" s="2135"/>
      <c r="AO50" s="368"/>
      <c r="AP50" s="368" t="str">
        <f t="shared" si="1"/>
        <v/>
      </c>
      <c r="AQ50" s="368"/>
      <c r="AR50" s="368"/>
    </row>
    <row r="51" spans="1:44" ht="11.25" customHeight="1">
      <c r="A51" s="1143" t="s">
        <v>106</v>
      </c>
      <c r="B51" s="1143" t="s">
        <v>107</v>
      </c>
      <c r="C51" s="1143" t="s">
        <v>108</v>
      </c>
      <c r="D51" s="1143" t="s">
        <v>109</v>
      </c>
      <c r="E51" s="2112"/>
      <c r="F51" s="2112"/>
      <c r="G51" s="2112"/>
      <c r="H51" s="2112"/>
      <c r="I51" s="2114"/>
      <c r="J51" s="2113"/>
      <c r="K51" s="1143"/>
      <c r="L51" s="1144"/>
      <c r="P51" s="2115"/>
      <c r="Q51" s="2115"/>
      <c r="R51" s="237"/>
      <c r="S51" s="1062"/>
      <c r="T51" s="163" t="s">
        <v>337</v>
      </c>
      <c r="U51" s="251"/>
      <c r="V51" s="251"/>
      <c r="W51" s="251"/>
      <c r="X51" s="251"/>
      <c r="Y51" s="251"/>
      <c r="Z51" s="251"/>
      <c r="AA51" s="251"/>
      <c r="AB51" s="251"/>
      <c r="AC51" s="251"/>
      <c r="AD51" s="251"/>
      <c r="AE51" s="251"/>
      <c r="AF51" s="251"/>
      <c r="AG51" s="251"/>
      <c r="AH51" s="251"/>
      <c r="AI51" s="251"/>
      <c r="AJ51" s="251"/>
      <c r="AK51" s="251"/>
      <c r="AL51" s="206"/>
      <c r="AM51" s="2136"/>
      <c r="AO51" s="368"/>
      <c r="AP51" s="368" t="str">
        <f t="shared" si="1"/>
        <v>Добавить вид теплоносителя (параметры теплоносителя)</v>
      </c>
      <c r="AQ51" s="368"/>
      <c r="AR51" s="368"/>
    </row>
    <row r="52" spans="1:44" ht="11.25" customHeight="1">
      <c r="A52" s="1143" t="s">
        <v>106</v>
      </c>
      <c r="B52" s="1143" t="s">
        <v>107</v>
      </c>
      <c r="C52" s="1143" t="s">
        <v>108</v>
      </c>
      <c r="D52" s="1143" t="s">
        <v>109</v>
      </c>
      <c r="E52" s="2112"/>
      <c r="F52" s="2112"/>
      <c r="G52" s="2112"/>
      <c r="H52" s="2112"/>
      <c r="I52" s="2113"/>
      <c r="J52" s="1143"/>
      <c r="K52" s="1143"/>
      <c r="L52" s="1144"/>
      <c r="P52" s="2115"/>
      <c r="Q52" s="1112"/>
      <c r="R52" s="237"/>
      <c r="S52" s="1062"/>
      <c r="T52" s="248" t="s">
        <v>338</v>
      </c>
      <c r="U52" s="251"/>
      <c r="V52" s="251"/>
      <c r="W52" s="251"/>
      <c r="X52" s="251"/>
      <c r="Y52" s="251"/>
      <c r="Z52" s="251"/>
      <c r="AA52" s="251"/>
      <c r="AB52" s="251"/>
      <c r="AC52" s="250"/>
      <c r="AD52" s="251"/>
      <c r="AE52" s="251"/>
      <c r="AF52" s="251"/>
      <c r="AG52" s="251"/>
      <c r="AH52" s="251"/>
      <c r="AI52" s="251"/>
      <c r="AJ52" s="251"/>
      <c r="AK52" s="250"/>
      <c r="AL52" s="251"/>
      <c r="AM52" s="178"/>
      <c r="AO52" s="368"/>
      <c r="AP52" s="368" t="str">
        <f t="shared" si="1"/>
        <v>Добавить группу потребителей</v>
      </c>
      <c r="AQ52" s="368"/>
      <c r="AR52" s="368"/>
    </row>
    <row r="53" spans="1:44" ht="0" hidden="1" customHeight="1">
      <c r="A53" s="1143" t="s">
        <v>106</v>
      </c>
      <c r="B53" s="1143" t="s">
        <v>107</v>
      </c>
      <c r="C53" s="1143" t="s">
        <v>108</v>
      </c>
      <c r="D53" s="1143" t="s">
        <v>109</v>
      </c>
      <c r="E53" s="2112"/>
      <c r="F53" s="2112"/>
      <c r="G53" s="2112"/>
      <c r="H53" s="2111"/>
      <c r="I53" s="1143"/>
      <c r="J53" s="1143"/>
      <c r="K53" s="1143"/>
      <c r="L53" s="1144"/>
      <c r="M53" s="1145"/>
      <c r="N53" s="1145"/>
      <c r="O53" s="395"/>
      <c r="P53" s="241"/>
      <c r="Q53" s="260"/>
      <c r="R53" s="236"/>
      <c r="S53" s="1166"/>
      <c r="T53" s="1167"/>
      <c r="U53" s="1168"/>
      <c r="V53" s="1168"/>
      <c r="W53" s="1168"/>
      <c r="X53" s="1168"/>
      <c r="Y53" s="1168"/>
      <c r="Z53" s="1168"/>
      <c r="AA53" s="1168"/>
      <c r="AB53" s="1168"/>
      <c r="AC53" s="1168"/>
      <c r="AD53" s="1168"/>
      <c r="AE53" s="1168"/>
      <c r="AF53" s="1168"/>
      <c r="AG53" s="1168"/>
      <c r="AH53" s="1168"/>
      <c r="AI53" s="1168"/>
      <c r="AJ53" s="1168"/>
      <c r="AK53" s="1168"/>
      <c r="AL53" s="1168"/>
      <c r="AM53" s="1169"/>
      <c r="AO53" s="368"/>
      <c r="AP53" s="368" t="str">
        <f t="shared" si="1"/>
        <v/>
      </c>
      <c r="AQ53" s="368"/>
      <c r="AR53" s="368"/>
    </row>
    <row r="54" spans="1:44" s="1686" customFormat="1" ht="0.75" customHeight="1">
      <c r="A54" s="1124" t="s">
        <v>106</v>
      </c>
      <c r="B54" s="1124" t="s">
        <v>107</v>
      </c>
      <c r="C54" s="1124" t="s">
        <v>108</v>
      </c>
      <c r="D54" s="1096"/>
      <c r="E54" s="2112"/>
      <c r="F54" s="2112"/>
      <c r="G54" s="2111"/>
      <c r="H54" s="1096"/>
      <c r="I54" s="1096"/>
      <c r="J54" s="1096"/>
      <c r="K54" s="1096"/>
      <c r="L54" s="1120"/>
      <c r="M54" s="1097"/>
      <c r="N54" s="1097"/>
      <c r="P54" s="1098"/>
      <c r="Q54" s="1099"/>
      <c r="R54" s="1098"/>
      <c r="S54" s="1104"/>
      <c r="T54" s="1107" t="s">
        <v>340</v>
      </c>
      <c r="U54" s="1106"/>
      <c r="V54" s="1106"/>
      <c r="W54" s="1106"/>
      <c r="X54" s="1106"/>
      <c r="Y54" s="1106"/>
      <c r="Z54" s="1106"/>
      <c r="AA54" s="1106"/>
      <c r="AB54" s="1106"/>
      <c r="AC54" s="1106"/>
      <c r="AD54" s="1106"/>
      <c r="AE54" s="1106"/>
      <c r="AF54" s="1106"/>
      <c r="AG54" s="1106"/>
      <c r="AH54" s="1106"/>
      <c r="AI54" s="1106"/>
      <c r="AJ54" s="1106"/>
      <c r="AK54" s="1106"/>
      <c r="AL54" s="1106"/>
      <c r="AM54" s="1106"/>
      <c r="AO54" s="598"/>
      <c r="AP54" s="598" t="str">
        <f t="shared" si="1"/>
        <v>Добавить источник для дифференциации</v>
      </c>
      <c r="AQ54" s="598"/>
      <c r="AR54" s="598"/>
    </row>
    <row r="55" spans="1:44" s="1686" customFormat="1" ht="0.75" customHeight="1">
      <c r="A55" s="1124" t="s">
        <v>106</v>
      </c>
      <c r="B55" s="1124" t="s">
        <v>107</v>
      </c>
      <c r="C55" s="1096"/>
      <c r="D55" s="1096"/>
      <c r="E55" s="2112"/>
      <c r="F55" s="2111"/>
      <c r="G55" s="1096"/>
      <c r="H55" s="1096"/>
      <c r="I55" s="1096"/>
      <c r="J55" s="1096"/>
      <c r="K55" s="1096"/>
      <c r="L55" s="1120"/>
      <c r="M55" s="1103"/>
      <c r="N55" s="1103"/>
      <c r="P55" s="1098"/>
      <c r="Q55" s="1099"/>
      <c r="R55" s="1098"/>
      <c r="S55" s="1104"/>
      <c r="T55" s="1107" t="s">
        <v>341</v>
      </c>
      <c r="U55" s="1106"/>
      <c r="V55" s="1106"/>
      <c r="W55" s="1106"/>
      <c r="X55" s="1106"/>
      <c r="Y55" s="1106"/>
      <c r="Z55" s="1106"/>
      <c r="AA55" s="1106"/>
      <c r="AB55" s="1106"/>
      <c r="AC55" s="1106"/>
      <c r="AD55" s="1106"/>
      <c r="AE55" s="1106"/>
      <c r="AF55" s="1106"/>
      <c r="AG55" s="1106"/>
      <c r="AH55" s="1106"/>
      <c r="AI55" s="1106"/>
      <c r="AJ55" s="1106"/>
      <c r="AK55" s="1106"/>
      <c r="AL55" s="1106"/>
      <c r="AM55" s="1106"/>
      <c r="AO55" s="598"/>
      <c r="AP55" s="598" t="str">
        <f t="shared" si="1"/>
        <v>Добавить централизованную систему для дифференциации</v>
      </c>
      <c r="AQ55" s="598"/>
      <c r="AR55" s="598"/>
    </row>
    <row r="56" spans="1:44" s="1622" customFormat="1" ht="0.75" customHeight="1">
      <c r="A56" s="1124" t="s">
        <v>106</v>
      </c>
      <c r="B56" s="1124"/>
      <c r="C56" s="1124"/>
      <c r="D56" s="1124"/>
      <c r="E56" s="2111"/>
      <c r="F56" s="1124"/>
      <c r="G56" s="1124"/>
      <c r="H56" s="1124"/>
      <c r="I56" s="1124"/>
      <c r="J56" s="1124"/>
      <c r="K56" s="1124"/>
      <c r="L56" s="1127"/>
      <c r="M56" s="1103"/>
      <c r="N56" s="1103"/>
      <c r="O56" s="386"/>
      <c r="P56" s="269"/>
      <c r="Q56" s="1125"/>
      <c r="R56" s="269"/>
      <c r="S56" s="1104"/>
      <c r="T56" s="1107" t="s">
        <v>342</v>
      </c>
      <c r="U56" s="1106"/>
      <c r="V56" s="1106"/>
      <c r="W56" s="1106"/>
      <c r="X56" s="1106"/>
      <c r="Y56" s="1106"/>
      <c r="Z56" s="1106"/>
      <c r="AA56" s="1106"/>
      <c r="AB56" s="1106"/>
      <c r="AC56" s="1106"/>
      <c r="AD56" s="1106"/>
      <c r="AE56" s="1106"/>
      <c r="AF56" s="1106"/>
      <c r="AG56" s="1106"/>
      <c r="AH56" s="1106"/>
      <c r="AI56" s="1106"/>
      <c r="AJ56" s="1106"/>
      <c r="AK56" s="1106"/>
      <c r="AL56" s="1106"/>
      <c r="AM56" s="1106"/>
      <c r="AO56" s="368"/>
      <c r="AP56" s="368" t="str">
        <f t="shared" si="1"/>
        <v>Добавить территорию для дифференциации</v>
      </c>
      <c r="AQ56" s="368"/>
      <c r="AR56" s="368"/>
    </row>
    <row r="57" spans="1:44" s="1686" customFormat="1" ht="0.75" customHeight="1">
      <c r="A57" s="1096"/>
      <c r="B57" s="1096"/>
      <c r="C57" s="1096"/>
      <c r="D57" s="1096"/>
      <c r="E57" s="1124"/>
      <c r="F57" s="1096"/>
      <c r="G57" s="1096"/>
      <c r="H57" s="1096"/>
      <c r="I57" s="1096"/>
      <c r="J57" s="1096"/>
      <c r="K57" s="1096"/>
      <c r="L57" s="1120"/>
      <c r="M57" s="1103"/>
      <c r="N57" s="1103"/>
      <c r="P57" s="1098"/>
      <c r="Q57" s="1099"/>
      <c r="R57" s="1098"/>
      <c r="S57" s="1104"/>
      <c r="T57" s="1107" t="s">
        <v>374</v>
      </c>
      <c r="U57" s="1106"/>
      <c r="V57" s="1106"/>
      <c r="W57" s="1106"/>
      <c r="X57" s="1106"/>
      <c r="Y57" s="1106"/>
      <c r="Z57" s="1106"/>
      <c r="AA57" s="1106"/>
      <c r="AB57" s="1106"/>
      <c r="AC57" s="1106"/>
      <c r="AD57" s="1106"/>
      <c r="AE57" s="1106"/>
      <c r="AF57" s="1106"/>
      <c r="AG57" s="1106"/>
      <c r="AH57" s="1106"/>
      <c r="AI57" s="1106"/>
      <c r="AJ57" s="1106"/>
      <c r="AK57" s="1106"/>
      <c r="AL57" s="1106"/>
      <c r="AM57" s="1106"/>
      <c r="AO57" s="598"/>
      <c r="AP57" s="598" t="str">
        <f t="shared" si="1"/>
        <v>Добавить наименование тарифа</v>
      </c>
      <c r="AQ57" s="598"/>
      <c r="AR57" s="598"/>
    </row>
    <row r="58" spans="1:44" ht="11.25" customHeight="1">
      <c r="M58" s="929"/>
      <c r="N58" s="929"/>
      <c r="O58" s="395"/>
      <c r="P58" s="924"/>
      <c r="Q58" s="924"/>
      <c r="R58" s="924"/>
      <c r="S58" s="924"/>
      <c r="AN58" s="924"/>
      <c r="AO58" s="924"/>
      <c r="AP58" s="924"/>
      <c r="AQ58" s="924"/>
      <c r="AR58" s="924"/>
    </row>
    <row r="59" spans="1:44" ht="18.75" customHeight="1">
      <c r="O59" s="395"/>
      <c r="S59" s="1031"/>
      <c r="T59" s="2110"/>
      <c r="U59" s="2110"/>
      <c r="V59" s="2110"/>
      <c r="W59" s="2110"/>
      <c r="X59" s="2110"/>
      <c r="Y59" s="2110"/>
      <c r="Z59" s="2110"/>
      <c r="AA59" s="2110"/>
      <c r="AB59" s="2110"/>
      <c r="AC59" s="2110"/>
      <c r="AD59" s="2110"/>
      <c r="AE59" s="2110"/>
      <c r="AF59" s="2110"/>
      <c r="AG59" s="2110"/>
      <c r="AH59" s="2110"/>
      <c r="AI59" s="2110"/>
      <c r="AJ59" s="2110"/>
      <c r="AK59" s="2110"/>
      <c r="AL59" s="2110"/>
      <c r="AM59" s="2110"/>
    </row>
    <row r="60" spans="1:44" ht="27.75" customHeight="1">
      <c r="O60" s="395"/>
      <c r="T60" s="2110"/>
      <c r="U60" s="2110"/>
      <c r="V60" s="2110"/>
      <c r="W60" s="2110"/>
      <c r="X60" s="2110"/>
      <c r="Y60" s="2110"/>
      <c r="Z60" s="2110"/>
      <c r="AA60" s="2110"/>
      <c r="AB60" s="2110"/>
      <c r="AC60" s="2110"/>
      <c r="AD60" s="2110"/>
      <c r="AE60" s="2110"/>
      <c r="AF60" s="2110"/>
      <c r="AG60" s="2110"/>
      <c r="AH60" s="2110"/>
      <c r="AI60" s="2110"/>
      <c r="AJ60" s="2110"/>
      <c r="AK60" s="2110"/>
      <c r="AL60" s="2110"/>
      <c r="AM60" s="2110"/>
    </row>
    <row r="61" spans="1:44" ht="39.75" customHeight="1">
      <c r="O61" s="395"/>
      <c r="T61" s="2110"/>
      <c r="U61" s="2110"/>
      <c r="V61" s="2110"/>
      <c r="W61" s="2110"/>
      <c r="X61" s="2110"/>
      <c r="Y61" s="2110"/>
      <c r="Z61" s="2110"/>
      <c r="AA61" s="2110"/>
      <c r="AB61" s="2110"/>
      <c r="AC61" s="2110"/>
      <c r="AD61" s="2110"/>
      <c r="AE61" s="2110"/>
      <c r="AF61" s="2110"/>
      <c r="AG61" s="2110"/>
      <c r="AH61" s="2110"/>
      <c r="AI61" s="2110"/>
      <c r="AJ61" s="2110"/>
      <c r="AK61" s="2110"/>
      <c r="AL61" s="2110"/>
      <c r="AM61" s="2110"/>
    </row>
    <row r="62" spans="1:44" ht="14.25" customHeight="1">
      <c r="O62" s="395"/>
    </row>
    <row r="63" spans="1:44" ht="19.5" customHeight="1">
      <c r="O63" s="395"/>
      <c r="S63" s="1031"/>
      <c r="T63" s="2018"/>
      <c r="U63" s="2110"/>
      <c r="V63" s="2110"/>
      <c r="W63" s="2110"/>
      <c r="X63" s="2110"/>
      <c r="Y63" s="2110"/>
      <c r="Z63" s="2110"/>
      <c r="AA63" s="2110"/>
      <c r="AB63" s="2110"/>
      <c r="AC63" s="2110"/>
      <c r="AD63" s="2110"/>
      <c r="AE63" s="2110"/>
      <c r="AF63" s="2110"/>
      <c r="AG63" s="2110"/>
      <c r="AH63" s="2110"/>
      <c r="AI63" s="2110"/>
      <c r="AJ63" s="2110"/>
      <c r="AK63" s="2110"/>
      <c r="AL63" s="2110"/>
      <c r="AM63" s="2110"/>
    </row>
    <row r="64" spans="1:44" ht="27.75" customHeight="1">
      <c r="O64" s="395"/>
      <c r="T64" s="2110"/>
      <c r="U64" s="2110"/>
      <c r="V64" s="2110"/>
      <c r="W64" s="2110"/>
      <c r="X64" s="2110"/>
      <c r="Y64" s="2110"/>
      <c r="Z64" s="2110"/>
      <c r="AA64" s="2110"/>
      <c r="AB64" s="2110"/>
      <c r="AC64" s="2110"/>
      <c r="AD64" s="2110"/>
      <c r="AE64" s="2110"/>
      <c r="AF64" s="2110"/>
      <c r="AG64" s="2110"/>
      <c r="AH64" s="2110"/>
      <c r="AI64" s="2110"/>
      <c r="AJ64" s="2110"/>
      <c r="AK64" s="2110"/>
      <c r="AL64" s="2110"/>
      <c r="AM64" s="2110"/>
    </row>
    <row r="65" spans="20:39" ht="33.75" customHeight="1">
      <c r="T65" s="2110"/>
      <c r="U65" s="2110"/>
      <c r="V65" s="2110"/>
      <c r="W65" s="2110"/>
      <c r="X65" s="2110"/>
      <c r="Y65" s="2110"/>
      <c r="Z65" s="2110"/>
      <c r="AA65" s="2110"/>
      <c r="AB65" s="2110"/>
      <c r="AC65" s="2110"/>
      <c r="AD65" s="2110"/>
      <c r="AE65" s="2110"/>
      <c r="AF65" s="2110"/>
      <c r="AG65" s="2110"/>
      <c r="AH65" s="2110"/>
      <c r="AI65" s="2110"/>
      <c r="AJ65" s="2110"/>
      <c r="AK65" s="2110"/>
      <c r="AL65" s="2110"/>
      <c r="AM65" s="2110"/>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687" hidden="1"/>
    <col min="2" max="2" width="11" style="1687" hidden="1" customWidth="1"/>
    <col min="3" max="3" width="10.5703125" style="1687" hidden="1"/>
    <col min="4" max="4" width="11.85546875" style="1687" hidden="1" customWidth="1"/>
    <col min="5" max="5" width="10" style="1687" hidden="1" customWidth="1"/>
    <col min="6" max="6" width="8.7109375" style="1687" hidden="1" customWidth="1"/>
    <col min="7" max="7" width="7.5703125" style="1687" hidden="1" customWidth="1"/>
    <col min="8" max="8" width="11.42578125" style="1687" hidden="1" customWidth="1"/>
    <col min="9" max="9" width="12" style="1687" hidden="1" customWidth="1"/>
    <col min="10" max="10" width="9.85546875" style="1687" hidden="1" customWidth="1"/>
    <col min="11" max="11" width="11.42578125" style="1687" hidden="1" customWidth="1"/>
    <col min="12" max="12" width="19.140625" style="1688" hidden="1" customWidth="1"/>
    <col min="13" max="14" width="12.28515625" style="1689" hidden="1" customWidth="1"/>
    <col min="15" max="15" width="23.42578125" style="1689" hidden="1" customWidth="1"/>
    <col min="16" max="16" width="3.7109375" style="1693" hidden="1" customWidth="1"/>
    <col min="17" max="18" width="3.7109375" style="1695" customWidth="1"/>
    <col min="19" max="19" width="12.7109375" style="1696" customWidth="1"/>
    <col min="20" max="20" width="32" style="1661" customWidth="1"/>
    <col min="21" max="21" width="0.140625" style="1661" customWidth="1"/>
    <col min="22" max="22" width="24.7109375" style="1661" hidden="1" customWidth="1"/>
    <col min="23" max="23" width="0.140625" style="1661" hidden="1" customWidth="1"/>
    <col min="24" max="25" width="24.7109375" style="1661" hidden="1" customWidth="1"/>
    <col min="26" max="26" width="11.7109375" style="1661" hidden="1" customWidth="1"/>
    <col min="27" max="27" width="3.7109375" style="1661" hidden="1" customWidth="1"/>
    <col min="28" max="28" width="11.7109375" style="1661" hidden="1" customWidth="1"/>
    <col min="29" max="29" width="8.5703125" style="1661" hidden="1" customWidth="1"/>
    <col min="30" max="30" width="24.7109375" style="1661" customWidth="1"/>
    <col min="31" max="31" width="0.140625" style="1661" customWidth="1"/>
    <col min="32" max="33" width="24.7109375" style="1661" customWidth="1"/>
    <col min="34" max="34" width="11.7109375" style="1661" customWidth="1"/>
    <col min="35" max="35" width="3.7109375" style="1661" customWidth="1"/>
    <col min="36" max="36" width="11.7109375" style="1661" customWidth="1"/>
    <col min="37" max="37" width="8.5703125" style="1661" hidden="1" customWidth="1"/>
    <col min="38" max="38" width="4.7109375" style="1661" customWidth="1"/>
    <col min="39" max="39" width="115.7109375" style="1661" customWidth="1"/>
    <col min="40" max="41" width="10.5703125" style="1622"/>
    <col min="42" max="42" width="11.140625" style="1622" customWidth="1"/>
    <col min="43" max="44" width="10.5703125" style="1622"/>
  </cols>
  <sheetData>
    <row r="1" spans="1:44" ht="14.25" hidden="1" customHeight="1">
      <c r="A1" s="1603"/>
      <c r="Y1" s="210"/>
      <c r="Z1" s="210"/>
      <c r="AG1" s="210"/>
      <c r="AH1" s="210"/>
    </row>
    <row r="2" spans="1:44" ht="21" hidden="1" customHeight="1">
      <c r="A2" s="1143"/>
      <c r="B2" s="1143"/>
      <c r="C2" s="1143"/>
      <c r="D2" s="1143"/>
      <c r="E2" s="2111">
        <v>1</v>
      </c>
      <c r="F2" s="1143"/>
      <c r="G2" s="1143"/>
      <c r="H2" s="1143"/>
      <c r="I2" s="1143"/>
      <c r="J2" s="1143"/>
      <c r="K2" s="1143"/>
      <c r="L2" s="1144"/>
      <c r="M2" s="1145"/>
      <c r="N2" s="1145"/>
      <c r="O2" s="1145"/>
      <c r="P2" s="242"/>
      <c r="Q2" s="241"/>
      <c r="R2" s="236"/>
      <c r="S2" s="1117" t="e">
        <f>INDEX(PT_DIFFERENTIATION_NUM_NTAR,MATCH(A2,PT_DIFFERENTIATION_NTAR_ID,0))</f>
        <v>#N/A</v>
      </c>
      <c r="T2" s="173" t="s">
        <v>61</v>
      </c>
      <c r="U2" s="175"/>
      <c r="V2" s="2104"/>
      <c r="W2" s="2105"/>
      <c r="X2" s="2105"/>
      <c r="Y2" s="2105"/>
      <c r="Z2" s="2105"/>
      <c r="AA2" s="2105"/>
      <c r="AB2" s="2105"/>
      <c r="AC2" s="2106"/>
      <c r="AD2" s="2104" t="e">
        <f>INDEX(PT_DIFFERENTIATION_NTAR,MATCH(A2,PT_DIFFERENTIATION_NTAR_ID,0))</f>
        <v>#N/A</v>
      </c>
      <c r="AE2" s="2105"/>
      <c r="AF2" s="2105"/>
      <c r="AG2" s="2105"/>
      <c r="AH2" s="2105"/>
      <c r="AI2" s="2105"/>
      <c r="AJ2" s="2105"/>
      <c r="AK2" s="2105"/>
      <c r="AL2" s="2106"/>
      <c r="AM2" s="1044" t="s">
        <v>322</v>
      </c>
      <c r="AO2" s="368"/>
      <c r="AP2" s="368" t="str">
        <f t="shared" ref="AP2:AP15" si="0">IF(T2="","",T2)</f>
        <v>Наименование тарифа</v>
      </c>
      <c r="AQ2" s="368"/>
      <c r="AR2" s="368"/>
    </row>
    <row r="3" spans="1:44" ht="21" hidden="1" customHeight="1">
      <c r="A3" s="1143"/>
      <c r="B3" s="1143"/>
      <c r="C3" s="1143"/>
      <c r="D3" s="1143"/>
      <c r="E3" s="2112"/>
      <c r="F3" s="2111">
        <v>1</v>
      </c>
      <c r="G3" s="1143"/>
      <c r="H3" s="1143"/>
      <c r="I3" s="1143"/>
      <c r="J3" s="1143"/>
      <c r="K3" s="1143"/>
      <c r="L3" s="1144"/>
      <c r="M3" s="1145"/>
      <c r="N3" s="1145"/>
      <c r="O3" s="1145"/>
      <c r="P3" s="1113"/>
      <c r="Q3" s="233"/>
      <c r="R3" s="234"/>
      <c r="S3" s="1117" t="e">
        <f>INDEX(PT_DIFFERENTIATION_NUM_TER,MATCH(B3,PT_DIFFERENTIATION_TER_ID,0))</f>
        <v>#N/A</v>
      </c>
      <c r="T3" s="185" t="s">
        <v>323</v>
      </c>
      <c r="U3" s="175"/>
      <c r="V3" s="2104"/>
      <c r="W3" s="2105"/>
      <c r="X3" s="2105"/>
      <c r="Y3" s="2105"/>
      <c r="Z3" s="2105"/>
      <c r="AA3" s="2105"/>
      <c r="AB3" s="2105"/>
      <c r="AC3" s="2106"/>
      <c r="AD3" s="2104" t="e">
        <f>INDEX(PT_DIFFERENTIATION_TER,MATCH(B3,PT_DIFFERENTIATION_TER_ID,0))</f>
        <v>#N/A</v>
      </c>
      <c r="AE3" s="2105"/>
      <c r="AF3" s="2105"/>
      <c r="AG3" s="2105"/>
      <c r="AH3" s="2105"/>
      <c r="AI3" s="2105"/>
      <c r="AJ3" s="2105"/>
      <c r="AK3" s="2105"/>
      <c r="AL3" s="2106"/>
      <c r="AM3" s="1044" t="s">
        <v>324</v>
      </c>
      <c r="AO3" s="368"/>
      <c r="AP3" s="368" t="str">
        <f t="shared" si="0"/>
        <v>Территория действия тарифа</v>
      </c>
      <c r="AQ3" s="368"/>
      <c r="AR3" s="368"/>
    </row>
    <row r="4" spans="1:44" ht="23.25" hidden="1" customHeight="1">
      <c r="A4" s="1143"/>
      <c r="B4" s="1143"/>
      <c r="C4" s="1143"/>
      <c r="D4" s="1143"/>
      <c r="E4" s="2112"/>
      <c r="F4" s="2112"/>
      <c r="G4" s="2111">
        <v>1</v>
      </c>
      <c r="H4" s="1143"/>
      <c r="I4" s="1143"/>
      <c r="J4" s="1143"/>
      <c r="K4" s="1143"/>
      <c r="L4" s="1144"/>
      <c r="M4" s="1145"/>
      <c r="N4" s="1145"/>
      <c r="O4" s="1145"/>
      <c r="P4" s="235"/>
      <c r="Q4" s="233"/>
      <c r="R4" s="234"/>
      <c r="S4" s="1117" t="e">
        <f>INDEX(PT_DIFFERENTIATION_NUM_CS,MATCH(C4,PT_DIFFERENTIATION_CS_ID,0))</f>
        <v>#N/A</v>
      </c>
      <c r="T4" s="186" t="s">
        <v>325</v>
      </c>
      <c r="U4" s="175"/>
      <c r="V4" s="2104"/>
      <c r="W4" s="2105"/>
      <c r="X4" s="2105"/>
      <c r="Y4" s="2105"/>
      <c r="Z4" s="2105"/>
      <c r="AA4" s="2105"/>
      <c r="AB4" s="2105"/>
      <c r="AC4" s="2106"/>
      <c r="AD4" s="2104" t="e">
        <f>INDEX(PT_DIFFERENTIATION_CS,MATCH(C4,PT_DIFFERENTIATION_CS_ID,0))</f>
        <v>#N/A</v>
      </c>
      <c r="AE4" s="2105"/>
      <c r="AF4" s="2105"/>
      <c r="AG4" s="2105"/>
      <c r="AH4" s="2105"/>
      <c r="AI4" s="2105"/>
      <c r="AJ4" s="2105"/>
      <c r="AK4" s="2105"/>
      <c r="AL4" s="2106"/>
      <c r="AM4" s="1044" t="s">
        <v>326</v>
      </c>
      <c r="AO4" s="368"/>
      <c r="AP4" s="368" t="str">
        <f t="shared" si="0"/>
        <v xml:space="preserve">Наименование системы теплоснабжения </v>
      </c>
      <c r="AQ4" s="368"/>
      <c r="AR4" s="368"/>
    </row>
    <row r="5" spans="1:44" ht="21" hidden="1" customHeight="1">
      <c r="A5" s="1143"/>
      <c r="B5" s="1143"/>
      <c r="C5" s="1143"/>
      <c r="D5" s="1143"/>
      <c r="E5" s="2112"/>
      <c r="F5" s="2112"/>
      <c r="G5" s="2112"/>
      <c r="H5" s="2111">
        <v>1</v>
      </c>
      <c r="I5" s="1143"/>
      <c r="J5" s="1143"/>
      <c r="K5" s="1143"/>
      <c r="L5" s="1144"/>
      <c r="M5" s="1145"/>
      <c r="N5" s="1145"/>
      <c r="O5" s="1145"/>
      <c r="P5" s="235"/>
      <c r="Q5" s="233"/>
      <c r="R5" s="234"/>
      <c r="S5" s="1117" t="e">
        <f>INDEX(PT_DIFFERENTIATION_NUM_IST_TE,MATCH(D5,PT_DIFFERENTIATION_IST_TE_ID,0))</f>
        <v>#N/A</v>
      </c>
      <c r="T5" s="187" t="s">
        <v>327</v>
      </c>
      <c r="U5" s="175"/>
      <c r="V5" s="2104"/>
      <c r="W5" s="2105"/>
      <c r="X5" s="2105"/>
      <c r="Y5" s="2105"/>
      <c r="Z5" s="2105"/>
      <c r="AA5" s="2105"/>
      <c r="AB5" s="2105"/>
      <c r="AC5" s="2106"/>
      <c r="AD5" s="2104" t="e">
        <f>INDEX(PT_DIFFERENTIATION_IST_TE,MATCH(D5,PT_DIFFERENTIATION_IST_TE_ID,0))</f>
        <v>#N/A</v>
      </c>
      <c r="AE5" s="2105"/>
      <c r="AF5" s="2105"/>
      <c r="AG5" s="2105"/>
      <c r="AH5" s="2105"/>
      <c r="AI5" s="2105"/>
      <c r="AJ5" s="2105"/>
      <c r="AK5" s="2105"/>
      <c r="AL5" s="2106"/>
      <c r="AM5" s="1044" t="s">
        <v>328</v>
      </c>
      <c r="AO5" s="368"/>
      <c r="AP5" s="368" t="str">
        <f t="shared" si="0"/>
        <v xml:space="preserve">Источник тепловой энергии  </v>
      </c>
      <c r="AQ5" s="368"/>
      <c r="AR5" s="368"/>
    </row>
    <row r="6" spans="1:44" ht="14.25" hidden="1" customHeight="1">
      <c r="A6" s="1143"/>
      <c r="B6" s="1143"/>
      <c r="C6" s="1143"/>
      <c r="D6" s="1143"/>
      <c r="E6" s="2112"/>
      <c r="F6" s="2112"/>
      <c r="G6" s="2112"/>
      <c r="H6" s="2112"/>
      <c r="I6" s="2113" t="e">
        <f>S5&amp;".1"</f>
        <v>#N/A</v>
      </c>
      <c r="J6" s="1143"/>
      <c r="K6" s="1143"/>
      <c r="L6" s="1144" t="s">
        <v>329</v>
      </c>
      <c r="M6" s="395"/>
      <c r="P6" s="2115">
        <v>1</v>
      </c>
      <c r="Q6" s="1112"/>
      <c r="R6" s="237"/>
      <c r="S6" s="825"/>
      <c r="T6" s="1163"/>
      <c r="U6" s="1164"/>
      <c r="V6" s="2140"/>
      <c r="W6" s="2141"/>
      <c r="X6" s="2141"/>
      <c r="Y6" s="2141"/>
      <c r="Z6" s="2141"/>
      <c r="AA6" s="2141"/>
      <c r="AB6" s="2141"/>
      <c r="AC6" s="2142"/>
      <c r="AD6" s="2140"/>
      <c r="AE6" s="2141"/>
      <c r="AF6" s="2141"/>
      <c r="AG6" s="2141"/>
      <c r="AH6" s="2141"/>
      <c r="AI6" s="2141"/>
      <c r="AJ6" s="2141"/>
      <c r="AK6" s="2141"/>
      <c r="AL6" s="2142"/>
      <c r="AM6" s="1165"/>
      <c r="AO6" s="368"/>
      <c r="AP6" s="368" t="str">
        <f t="shared" si="0"/>
        <v/>
      </c>
      <c r="AQ6" s="368"/>
      <c r="AR6" s="368"/>
    </row>
    <row r="7" spans="1:44" ht="21" hidden="1" customHeight="1">
      <c r="A7" s="1143"/>
      <c r="B7" s="1143"/>
      <c r="C7" s="1143"/>
      <c r="D7" s="1143"/>
      <c r="E7" s="2112"/>
      <c r="F7" s="2112"/>
      <c r="G7" s="2112"/>
      <c r="H7" s="2112"/>
      <c r="I7" s="2114"/>
      <c r="J7" s="2113" t="e">
        <f>I6&amp;".1"</f>
        <v>#N/A</v>
      </c>
      <c r="K7" s="1143"/>
      <c r="L7" s="1144" t="s">
        <v>332</v>
      </c>
      <c r="M7" s="395"/>
      <c r="N7" s="1146"/>
      <c r="P7" s="2115"/>
      <c r="Q7" s="2115">
        <v>1</v>
      </c>
      <c r="R7" s="238"/>
      <c r="S7" s="1117" t="e">
        <f>$J7</f>
        <v>#N/A</v>
      </c>
      <c r="T7" s="162" t="s">
        <v>333</v>
      </c>
      <c r="U7" s="175"/>
      <c r="V7" s="2098"/>
      <c r="W7" s="2099"/>
      <c r="X7" s="2099"/>
      <c r="Y7" s="2099"/>
      <c r="Z7" s="2099"/>
      <c r="AA7" s="2099"/>
      <c r="AB7" s="2099"/>
      <c r="AC7" s="2100"/>
      <c r="AD7" s="2098"/>
      <c r="AE7" s="2099"/>
      <c r="AF7" s="2099"/>
      <c r="AG7" s="2099"/>
      <c r="AH7" s="2099"/>
      <c r="AI7" s="2099"/>
      <c r="AJ7" s="2099"/>
      <c r="AK7" s="2099"/>
      <c r="AL7" s="2100"/>
      <c r="AM7" s="1044" t="s">
        <v>334</v>
      </c>
      <c r="AO7" s="368"/>
      <c r="AP7" s="368" t="str">
        <f t="shared" si="0"/>
        <v>Группа потребителей</v>
      </c>
      <c r="AQ7" s="368"/>
      <c r="AR7" s="368"/>
    </row>
    <row r="8" spans="1:44" ht="21" hidden="1" customHeight="1">
      <c r="A8" s="1143"/>
      <c r="B8" s="1143"/>
      <c r="C8" s="1143"/>
      <c r="D8" s="1143"/>
      <c r="E8" s="2112"/>
      <c r="F8" s="2112"/>
      <c r="G8" s="2112"/>
      <c r="H8" s="2112"/>
      <c r="I8" s="2114"/>
      <c r="J8" s="2114"/>
      <c r="K8" s="2113" t="e">
        <f>J7&amp;".1"</f>
        <v>#N/A</v>
      </c>
      <c r="L8" s="1144" t="s">
        <v>335</v>
      </c>
      <c r="M8" s="395"/>
      <c r="N8" s="1146"/>
      <c r="O8" s="1146"/>
      <c r="P8" s="2115"/>
      <c r="Q8" s="2115"/>
      <c r="R8" s="238">
        <v>1</v>
      </c>
      <c r="S8" s="1117" t="e">
        <f>$K8</f>
        <v>#N/A</v>
      </c>
      <c r="T8" s="1128"/>
      <c r="U8" s="175"/>
      <c r="V8" s="576"/>
      <c r="W8" s="207"/>
      <c r="X8" s="576"/>
      <c r="Y8" s="1043"/>
      <c r="Z8" s="2116"/>
      <c r="AA8" s="2109" t="s">
        <v>16</v>
      </c>
      <c r="AB8" s="2116"/>
      <c r="AC8" s="2109" t="s">
        <v>16</v>
      </c>
      <c r="AD8" s="576"/>
      <c r="AE8" s="207"/>
      <c r="AF8" s="576"/>
      <c r="AG8" s="1043"/>
      <c r="AH8" s="2116"/>
      <c r="AI8" s="2109" t="s">
        <v>16</v>
      </c>
      <c r="AJ8" s="2116"/>
      <c r="AK8" s="2109" t="s">
        <v>16</v>
      </c>
      <c r="AL8" s="207"/>
      <c r="AM8" s="2134" t="s">
        <v>336</v>
      </c>
      <c r="AN8" s="379" t="e">
        <f ca="1">STRCHECKDATE(V9:AL9)</f>
        <v>#NAME?</v>
      </c>
      <c r="AO8" s="368"/>
      <c r="AP8" s="368" t="str">
        <f t="shared" si="0"/>
        <v/>
      </c>
      <c r="AQ8" s="368"/>
      <c r="AR8" s="368"/>
    </row>
    <row r="9" spans="1:44" ht="14.25" hidden="1" customHeight="1">
      <c r="A9" s="1143"/>
      <c r="B9" s="1143"/>
      <c r="C9" s="1143"/>
      <c r="D9" s="1143"/>
      <c r="E9" s="2112"/>
      <c r="F9" s="2112"/>
      <c r="G9" s="2112"/>
      <c r="H9" s="2112"/>
      <c r="I9" s="2114"/>
      <c r="J9" s="2114"/>
      <c r="K9" s="2113"/>
      <c r="L9" s="1144"/>
      <c r="M9" s="395"/>
      <c r="N9" s="1146"/>
      <c r="O9" s="1146"/>
      <c r="P9" s="2115"/>
      <c r="Q9" s="2115"/>
      <c r="R9" s="238"/>
      <c r="S9" s="1123"/>
      <c r="T9" s="175"/>
      <c r="U9" s="175"/>
      <c r="V9" s="207"/>
      <c r="W9" s="207"/>
      <c r="X9" s="207"/>
      <c r="Y9" s="211" t="str">
        <f>Z8&amp;"-"&amp;AB8</f>
        <v>-</v>
      </c>
      <c r="Z9" s="2117"/>
      <c r="AA9" s="2109"/>
      <c r="AB9" s="2117"/>
      <c r="AC9" s="2109"/>
      <c r="AD9" s="207"/>
      <c r="AE9" s="207"/>
      <c r="AF9" s="207"/>
      <c r="AG9" s="211" t="str">
        <f>AH8&amp;"-"&amp;AJ8</f>
        <v>-</v>
      </c>
      <c r="AH9" s="2117"/>
      <c r="AI9" s="2109"/>
      <c r="AJ9" s="2117"/>
      <c r="AK9" s="2109"/>
      <c r="AL9" s="207"/>
      <c r="AM9" s="2135"/>
      <c r="AO9" s="368"/>
      <c r="AP9" s="368" t="str">
        <f t="shared" si="0"/>
        <v/>
      </c>
      <c r="AQ9" s="368"/>
      <c r="AR9" s="368"/>
    </row>
    <row r="10" spans="1:44" ht="15" hidden="1" customHeight="1">
      <c r="A10" s="1143"/>
      <c r="B10" s="1143"/>
      <c r="C10" s="1143"/>
      <c r="D10" s="1143"/>
      <c r="E10" s="2112"/>
      <c r="F10" s="2112"/>
      <c r="G10" s="2112"/>
      <c r="H10" s="2112"/>
      <c r="I10" s="2114"/>
      <c r="J10" s="2113"/>
      <c r="K10" s="1143"/>
      <c r="L10" s="1144"/>
      <c r="M10" s="395"/>
      <c r="N10" s="1146"/>
      <c r="P10" s="2115"/>
      <c r="Q10" s="2115"/>
      <c r="R10" s="237"/>
      <c r="S10" s="1062"/>
      <c r="T10" s="163" t="s">
        <v>337</v>
      </c>
      <c r="U10" s="251"/>
      <c r="V10" s="251"/>
      <c r="W10" s="251"/>
      <c r="X10" s="251"/>
      <c r="Y10" s="251"/>
      <c r="Z10" s="251"/>
      <c r="AA10" s="251"/>
      <c r="AB10" s="251"/>
      <c r="AC10" s="251"/>
      <c r="AD10" s="251"/>
      <c r="AE10" s="251"/>
      <c r="AF10" s="251"/>
      <c r="AG10" s="251"/>
      <c r="AH10" s="251"/>
      <c r="AI10" s="251"/>
      <c r="AJ10" s="251"/>
      <c r="AK10" s="251"/>
      <c r="AL10" s="206"/>
      <c r="AM10" s="2136"/>
      <c r="AO10" s="368"/>
      <c r="AP10" s="368" t="str">
        <f t="shared" si="0"/>
        <v>Добавить вид теплоносителя (параметры теплоносителя)</v>
      </c>
      <c r="AQ10" s="368"/>
      <c r="AR10" s="368"/>
    </row>
    <row r="11" spans="1:44" ht="11.25" hidden="1" customHeight="1">
      <c r="A11" s="1143"/>
      <c r="B11" s="1143"/>
      <c r="C11" s="1143"/>
      <c r="D11" s="1143"/>
      <c r="E11" s="2112"/>
      <c r="F11" s="2112"/>
      <c r="G11" s="2112"/>
      <c r="H11" s="2112"/>
      <c r="I11" s="2113"/>
      <c r="J11" s="1143"/>
      <c r="K11" s="1143"/>
      <c r="L11" s="1144"/>
      <c r="M11" s="395"/>
      <c r="P11" s="2115"/>
      <c r="Q11" s="1112"/>
      <c r="R11" s="237"/>
      <c r="S11" s="1062"/>
      <c r="T11" s="248" t="s">
        <v>338</v>
      </c>
      <c r="U11" s="251"/>
      <c r="V11" s="251"/>
      <c r="W11" s="251"/>
      <c r="X11" s="251"/>
      <c r="Y11" s="251"/>
      <c r="Z11" s="251"/>
      <c r="AA11" s="251"/>
      <c r="AB11" s="251"/>
      <c r="AC11" s="250"/>
      <c r="AD11" s="251"/>
      <c r="AE11" s="251"/>
      <c r="AF11" s="251"/>
      <c r="AG11" s="251"/>
      <c r="AH11" s="251"/>
      <c r="AI11" s="251"/>
      <c r="AJ11" s="251"/>
      <c r="AK11" s="250"/>
      <c r="AL11" s="251"/>
      <c r="AM11" s="178"/>
      <c r="AO11" s="368"/>
      <c r="AP11" s="368" t="str">
        <f t="shared" si="0"/>
        <v>Добавить группу потребителей</v>
      </c>
      <c r="AQ11" s="368"/>
      <c r="AR11" s="368"/>
    </row>
    <row r="12" spans="1:44" ht="14.25" hidden="1" customHeight="1">
      <c r="A12" s="1143"/>
      <c r="B12" s="1143"/>
      <c r="C12" s="1143"/>
      <c r="D12" s="1143"/>
      <c r="E12" s="2112"/>
      <c r="F12" s="2112"/>
      <c r="G12" s="2112"/>
      <c r="H12" s="2111"/>
      <c r="I12" s="1143"/>
      <c r="J12" s="1143"/>
      <c r="K12" s="1143"/>
      <c r="L12" s="1144"/>
      <c r="M12" s="1145"/>
      <c r="N12" s="1145"/>
      <c r="O12" s="395"/>
      <c r="P12" s="241"/>
      <c r="Q12" s="260"/>
      <c r="R12" s="236"/>
      <c r="S12" s="1166"/>
      <c r="T12" s="1167"/>
      <c r="U12" s="1168"/>
      <c r="V12" s="1168"/>
      <c r="W12" s="1168"/>
      <c r="X12" s="1168"/>
      <c r="Y12" s="1168"/>
      <c r="Z12" s="1168"/>
      <c r="AA12" s="1168"/>
      <c r="AB12" s="1168"/>
      <c r="AC12" s="1168"/>
      <c r="AD12" s="1168"/>
      <c r="AE12" s="1168"/>
      <c r="AF12" s="1168"/>
      <c r="AG12" s="1168"/>
      <c r="AH12" s="1168"/>
      <c r="AI12" s="1168"/>
      <c r="AJ12" s="1168"/>
      <c r="AK12" s="1168"/>
      <c r="AL12" s="1168"/>
      <c r="AM12" s="1169"/>
      <c r="AO12" s="368"/>
      <c r="AP12" s="368" t="str">
        <f t="shared" si="0"/>
        <v/>
      </c>
      <c r="AQ12" s="368"/>
      <c r="AR12" s="368"/>
    </row>
    <row r="13" spans="1:44" s="1686" customFormat="1" ht="14.25" hidden="1" customHeight="1">
      <c r="A13" s="1096"/>
      <c r="B13" s="1096"/>
      <c r="C13" s="1096"/>
      <c r="D13" s="1096"/>
      <c r="E13" s="2112"/>
      <c r="F13" s="2112"/>
      <c r="G13" s="2111"/>
      <c r="H13" s="1096"/>
      <c r="I13" s="1096"/>
      <c r="J13" s="1096"/>
      <c r="K13" s="1096"/>
      <c r="L13" s="1120"/>
      <c r="M13" s="1097"/>
      <c r="N13" s="1097"/>
      <c r="P13" s="1098"/>
      <c r="Q13" s="1099"/>
      <c r="R13" s="1098"/>
      <c r="S13" s="1100"/>
      <c r="T13" s="1101" t="s">
        <v>340</v>
      </c>
      <c r="U13" s="1102"/>
      <c r="V13" s="1102"/>
      <c r="W13" s="1102"/>
      <c r="X13" s="1102"/>
      <c r="Y13" s="1102"/>
      <c r="Z13" s="1102"/>
      <c r="AA13" s="1102"/>
      <c r="AB13" s="1102"/>
      <c r="AC13" s="1102"/>
      <c r="AD13" s="1102"/>
      <c r="AE13" s="1102"/>
      <c r="AF13" s="1102"/>
      <c r="AG13" s="1102"/>
      <c r="AH13" s="1102"/>
      <c r="AI13" s="1102"/>
      <c r="AJ13" s="1102"/>
      <c r="AK13" s="1102"/>
      <c r="AL13" s="1102"/>
      <c r="AM13" s="1102"/>
      <c r="AO13" s="598"/>
      <c r="AP13" s="598" t="str">
        <f t="shared" si="0"/>
        <v>Добавить источник для дифференциации</v>
      </c>
      <c r="AQ13" s="598"/>
      <c r="AR13" s="598"/>
    </row>
    <row r="14" spans="1:44" s="1686" customFormat="1" ht="14.25" hidden="1" customHeight="1">
      <c r="A14" s="1096"/>
      <c r="B14" s="1096"/>
      <c r="C14" s="1096"/>
      <c r="D14" s="1096"/>
      <c r="E14" s="2112"/>
      <c r="F14" s="2111"/>
      <c r="G14" s="1096"/>
      <c r="H14" s="1096"/>
      <c r="I14" s="1096"/>
      <c r="J14" s="1096"/>
      <c r="K14" s="1096"/>
      <c r="L14" s="1120"/>
      <c r="M14" s="1103"/>
      <c r="N14" s="1103"/>
      <c r="P14" s="1098"/>
      <c r="Q14" s="1099"/>
      <c r="R14" s="1098"/>
      <c r="S14" s="1104"/>
      <c r="T14" s="1105" t="s">
        <v>341</v>
      </c>
      <c r="U14" s="1106"/>
      <c r="V14" s="1106"/>
      <c r="W14" s="1106"/>
      <c r="X14" s="1106"/>
      <c r="Y14" s="1106"/>
      <c r="Z14" s="1106"/>
      <c r="AA14" s="1106"/>
      <c r="AB14" s="1106"/>
      <c r="AC14" s="1106"/>
      <c r="AD14" s="1106"/>
      <c r="AE14" s="1106"/>
      <c r="AF14" s="1106"/>
      <c r="AG14" s="1106"/>
      <c r="AH14" s="1106"/>
      <c r="AI14" s="1106"/>
      <c r="AJ14" s="1106"/>
      <c r="AK14" s="1106"/>
      <c r="AL14" s="1106"/>
      <c r="AM14" s="1106"/>
      <c r="AO14" s="598"/>
      <c r="AP14" s="598" t="str">
        <f t="shared" si="0"/>
        <v>Добавить централизованную систему для дифференциации</v>
      </c>
      <c r="AQ14" s="598"/>
      <c r="AR14" s="598"/>
    </row>
    <row r="15" spans="1:44" s="1686" customFormat="1" ht="14.25" hidden="1" customHeight="1">
      <c r="A15" s="1096"/>
      <c r="B15" s="1096"/>
      <c r="C15" s="1096"/>
      <c r="D15" s="1096"/>
      <c r="E15" s="2111"/>
      <c r="F15" s="1096"/>
      <c r="G15" s="1096"/>
      <c r="H15" s="1096"/>
      <c r="I15" s="1096"/>
      <c r="J15" s="1096"/>
      <c r="K15" s="1096"/>
      <c r="L15" s="1120"/>
      <c r="M15" s="1103"/>
      <c r="N15" s="1103"/>
      <c r="P15" s="1098"/>
      <c r="Q15" s="1099"/>
      <c r="R15" s="1098"/>
      <c r="S15" s="1104"/>
      <c r="T15" s="1107" t="s">
        <v>342</v>
      </c>
      <c r="U15" s="1106"/>
      <c r="V15" s="1106"/>
      <c r="W15" s="1106"/>
      <c r="X15" s="1106"/>
      <c r="Y15" s="1106"/>
      <c r="Z15" s="1106"/>
      <c r="AA15" s="1106"/>
      <c r="AB15" s="1106"/>
      <c r="AC15" s="1106"/>
      <c r="AD15" s="1106"/>
      <c r="AE15" s="1106"/>
      <c r="AF15" s="1106"/>
      <c r="AG15" s="1106"/>
      <c r="AH15" s="1106"/>
      <c r="AI15" s="1106"/>
      <c r="AJ15" s="1106"/>
      <c r="AK15" s="1106"/>
      <c r="AL15" s="1106"/>
      <c r="AM15" s="1106"/>
      <c r="AO15" s="598"/>
      <c r="AP15" s="598" t="str">
        <f t="shared" si="0"/>
        <v>Добавить территорию для дифференциации</v>
      </c>
      <c r="AQ15" s="598"/>
      <c r="AR15" s="598"/>
    </row>
    <row r="16" spans="1:44" ht="14.25" hidden="1" customHeight="1">
      <c r="AC16" s="210"/>
      <c r="AK16" s="210"/>
    </row>
    <row r="17" spans="1:44" ht="14.25" hidden="1" customHeight="1">
      <c r="AD17" s="1140"/>
      <c r="AE17" s="1140"/>
      <c r="AF17" s="1140"/>
      <c r="AG17" s="1141"/>
      <c r="AH17" s="2108"/>
      <c r="AI17" s="2107" t="s">
        <v>16</v>
      </c>
      <c r="AJ17" s="2108"/>
      <c r="AK17" s="2107" t="s">
        <v>16</v>
      </c>
    </row>
    <row r="18" spans="1:44" ht="14.25" hidden="1" customHeight="1">
      <c r="AD18" s="1140"/>
      <c r="AE18" s="1140"/>
      <c r="AF18" s="1140"/>
      <c r="AG18" s="211" t="str">
        <f>AH17&amp;"-"&amp;AJ17</f>
        <v>-</v>
      </c>
      <c r="AH18" s="2107"/>
      <c r="AI18" s="2107"/>
      <c r="AJ18" s="2107"/>
      <c r="AK18" s="2107"/>
    </row>
    <row r="19" spans="1:44" ht="14.25" hidden="1" customHeight="1">
      <c r="AK19" s="210"/>
    </row>
    <row r="20" spans="1:44" s="1687" customFormat="1" ht="22.5" hidden="1" customHeight="1">
      <c r="L20" s="1110"/>
      <c r="M20" s="1142"/>
      <c r="N20" s="1142"/>
      <c r="O20" s="1147" t="s">
        <v>343</v>
      </c>
      <c r="P20" s="1142"/>
      <c r="Q20" s="1151"/>
      <c r="R20" s="1151"/>
      <c r="S20" s="556"/>
      <c r="Z20" s="1147"/>
      <c r="AB20" s="1147"/>
      <c r="AC20" s="1146"/>
      <c r="AH20" s="1147"/>
      <c r="AJ20" s="1147"/>
      <c r="AK20" s="1146"/>
      <c r="AN20" s="379"/>
      <c r="AO20" s="379"/>
      <c r="AP20" s="379"/>
      <c r="AQ20" s="379"/>
      <c r="AR20" s="379"/>
    </row>
    <row r="21" spans="1:44" s="1687" customFormat="1" ht="14.25" hidden="1" customHeight="1">
      <c r="L21" s="1110"/>
      <c r="M21" s="1142"/>
      <c r="N21" s="1142"/>
      <c r="O21" s="1142"/>
      <c r="P21" s="1142"/>
      <c r="Q21" s="1151"/>
      <c r="R21" s="1151"/>
      <c r="S21" s="556"/>
      <c r="AC21" s="1146"/>
      <c r="AK21" s="1146"/>
      <c r="AN21" s="379"/>
      <c r="AO21" s="379"/>
      <c r="AP21" s="379"/>
      <c r="AQ21" s="379"/>
      <c r="AR21" s="379"/>
    </row>
    <row r="22" spans="1:44" s="1687" customFormat="1" ht="14.25" hidden="1" customHeight="1">
      <c r="L22" s="1110"/>
      <c r="M22" s="1142"/>
      <c r="N22" s="1142"/>
      <c r="O22" s="1144" t="s">
        <v>344</v>
      </c>
      <c r="P22" s="1142"/>
      <c r="Q22" s="1151"/>
      <c r="R22" s="1151"/>
      <c r="S22" s="556"/>
      <c r="T22" s="929" t="s">
        <v>345</v>
      </c>
      <c r="AA22" s="86" t="s">
        <v>346</v>
      </c>
      <c r="AC22" s="86" t="s">
        <v>347</v>
      </c>
      <c r="AD22" s="929" t="s">
        <v>345</v>
      </c>
      <c r="AI22" s="86" t="s">
        <v>348</v>
      </c>
      <c r="AK22" s="86" t="s">
        <v>347</v>
      </c>
      <c r="AN22" s="379"/>
      <c r="AO22" s="379"/>
      <c r="AP22" s="379"/>
      <c r="AQ22" s="379"/>
      <c r="AR22" s="379"/>
    </row>
    <row r="23" spans="1:44" ht="14.25" hidden="1" customHeight="1">
      <c r="O23" s="1144"/>
    </row>
    <row r="24" spans="1:44" ht="14.25" hidden="1" customHeight="1">
      <c r="O24" s="1144"/>
    </row>
    <row r="25" spans="1:44" ht="14.25" customHeight="1">
      <c r="Q25" s="261"/>
      <c r="R25" s="261"/>
      <c r="S25" s="1059"/>
      <c r="T25" s="246"/>
      <c r="U25" s="246"/>
      <c r="V25" s="377"/>
      <c r="W25" s="377"/>
      <c r="X25" s="377"/>
      <c r="Y25" s="377"/>
      <c r="Z25" s="377"/>
      <c r="AA25" s="377"/>
      <c r="AB25" s="377"/>
      <c r="AC25" s="377"/>
      <c r="AD25" s="377"/>
      <c r="AE25" s="377"/>
      <c r="AF25" s="377"/>
      <c r="AG25" s="377"/>
      <c r="AH25" s="377"/>
      <c r="AI25" s="377"/>
      <c r="AJ25" s="377"/>
      <c r="AK25" s="377"/>
    </row>
    <row r="26" spans="1:44" ht="51.75" customHeight="1">
      <c r="Q26" s="261"/>
      <c r="R26" s="261"/>
      <c r="S26" s="20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35"/>
      <c r="U26" s="2035"/>
      <c r="V26" s="2035"/>
      <c r="W26" s="2035"/>
      <c r="X26" s="2035"/>
      <c r="Y26" s="2035"/>
      <c r="Z26" s="2035"/>
      <c r="AA26" s="2035"/>
      <c r="AB26" s="2035"/>
      <c r="AC26" s="2035"/>
      <c r="AD26" s="2035"/>
      <c r="AE26" s="2035"/>
      <c r="AF26" s="2035"/>
      <c r="AG26" s="2035"/>
      <c r="AH26" s="2035"/>
      <c r="AI26" s="2035"/>
      <c r="AJ26" s="2035"/>
      <c r="AK26" s="1019"/>
    </row>
    <row r="27" spans="1:44" ht="14.25" customHeight="1">
      <c r="Q27" s="261"/>
      <c r="R27" s="261"/>
      <c r="S27" s="2059" t="e">
        <f>IF(org=0,"Не определено",org)</f>
        <v>#REF!</v>
      </c>
      <c r="T27" s="2059"/>
      <c r="U27" s="2059"/>
      <c r="V27" s="2059"/>
      <c r="W27" s="2059"/>
      <c r="X27" s="2059"/>
      <c r="Y27" s="2059"/>
      <c r="Z27" s="2059"/>
      <c r="AA27" s="2059"/>
      <c r="AB27" s="2059"/>
      <c r="AC27" s="2059"/>
      <c r="AD27" s="2059"/>
      <c r="AE27" s="2059"/>
      <c r="AF27" s="2059"/>
      <c r="AG27" s="2059"/>
      <c r="AH27" s="2059"/>
      <c r="AI27" s="2059"/>
      <c r="AJ27" s="2059"/>
      <c r="AK27" s="1019"/>
    </row>
    <row r="28" spans="1:44" ht="14.25" hidden="1" customHeight="1">
      <c r="Q28" s="261"/>
      <c r="R28" s="261"/>
      <c r="S28" s="1059"/>
      <c r="T28" s="246"/>
      <c r="U28" s="246"/>
      <c r="V28" s="203"/>
      <c r="W28" s="203"/>
      <c r="X28" s="203"/>
      <c r="Y28" s="203"/>
      <c r="Z28" s="203"/>
      <c r="AA28" s="203"/>
      <c r="AB28" s="203"/>
      <c r="AC28" s="203"/>
      <c r="AD28" s="203"/>
      <c r="AE28" s="203"/>
      <c r="AF28" s="203"/>
      <c r="AG28" s="203"/>
      <c r="AH28" s="203"/>
      <c r="AI28" s="203"/>
      <c r="AJ28" s="203"/>
      <c r="AK28" s="203"/>
      <c r="AL28" s="377"/>
    </row>
    <row r="29" spans="1:44" s="1692" customFormat="1" ht="25.5" hidden="1" customHeight="1">
      <c r="A29" s="1148"/>
      <c r="B29" s="1148"/>
      <c r="C29" s="1148"/>
      <c r="D29" s="1148"/>
      <c r="E29" s="1148"/>
      <c r="F29" s="1148"/>
      <c r="G29" s="1148"/>
      <c r="H29" s="1148"/>
      <c r="I29" s="1148"/>
      <c r="J29" s="1148"/>
      <c r="K29" s="1148"/>
      <c r="L29" s="1149"/>
      <c r="M29" s="1148"/>
      <c r="N29" s="1148"/>
      <c r="O29" s="1148"/>
      <c r="S29" s="2101" t="s">
        <v>6</v>
      </c>
      <c r="T29" s="2101"/>
      <c r="U29" s="1152"/>
      <c r="V29" s="2103" t="e">
        <f>IF(TITLE_NAME_OR_PR_CHANGE="",IF(TITLE_NAME_OR_PR="","",TITLE_NAME_OR_PR),TITLE_NAME_OR_PR_CHANGE)</f>
        <v>#REF!</v>
      </c>
      <c r="W29" s="2103"/>
      <c r="X29" s="2103"/>
      <c r="Y29" s="2103"/>
      <c r="Z29" s="2103"/>
      <c r="AA29" s="2103"/>
      <c r="AB29" s="2103"/>
      <c r="AC29" s="209"/>
      <c r="AD29" s="2103" t="e">
        <f>IF(TITLE_NAME_OR_PR_CHANGE="",IF(TITLE_NAME_OR_PR="","",TITLE_NAME_OR_PR),TITLE_NAME_OR_PR_CHANGE)</f>
        <v>#REF!</v>
      </c>
      <c r="AE29" s="2103"/>
      <c r="AF29" s="2103"/>
      <c r="AG29" s="2103"/>
      <c r="AH29" s="2103"/>
      <c r="AI29" s="2103"/>
      <c r="AJ29" s="2103"/>
      <c r="AK29" s="209"/>
      <c r="AL29" s="209"/>
      <c r="AM29" s="157"/>
      <c r="AN29" s="252"/>
      <c r="AO29" s="252"/>
      <c r="AP29" s="252"/>
      <c r="AQ29" s="252"/>
      <c r="AR29" s="252"/>
    </row>
    <row r="30" spans="1:44" s="1692" customFormat="1" ht="18.75" hidden="1" customHeight="1">
      <c r="A30" s="1148"/>
      <c r="B30" s="1148"/>
      <c r="C30" s="1148"/>
      <c r="D30" s="1148"/>
      <c r="E30" s="1148"/>
      <c r="F30" s="1148"/>
      <c r="G30" s="1148"/>
      <c r="H30" s="1148"/>
      <c r="I30" s="1148"/>
      <c r="J30" s="1148"/>
      <c r="K30" s="1148"/>
      <c r="L30" s="1149"/>
      <c r="M30" s="1148"/>
      <c r="N30" s="1148"/>
      <c r="O30" s="1148"/>
      <c r="S30" s="2101" t="s">
        <v>349</v>
      </c>
      <c r="T30" s="2101"/>
      <c r="U30" s="1152"/>
      <c r="V30" s="2102" t="e">
        <f>IF(TITLE_DATE_PR_CHANGE="",IF(TITLE_DATE_PR="","",TITLE_DATE_PR),TITLE_DATE_PR_CHANGE)</f>
        <v>#REF!</v>
      </c>
      <c r="W30" s="2102"/>
      <c r="X30" s="2102"/>
      <c r="Y30" s="2102"/>
      <c r="Z30" s="2102"/>
      <c r="AA30" s="2102"/>
      <c r="AB30" s="2102"/>
      <c r="AC30" s="209"/>
      <c r="AD30" s="2102" t="e">
        <f>IF(TITLE_DATE_PR_CHANGE="",IF(TITLE_DATE_PR="","",TITLE_DATE_PR),TITLE_DATE_PR_CHANGE)</f>
        <v>#REF!</v>
      </c>
      <c r="AE30" s="2102"/>
      <c r="AF30" s="2102"/>
      <c r="AG30" s="2102"/>
      <c r="AH30" s="2102"/>
      <c r="AI30" s="2102"/>
      <c r="AJ30" s="2102"/>
      <c r="AK30" s="209"/>
      <c r="AL30" s="209"/>
      <c r="AM30" s="157"/>
      <c r="AN30" s="252"/>
      <c r="AO30" s="252"/>
      <c r="AP30" s="252"/>
      <c r="AQ30" s="252"/>
      <c r="AR30" s="252"/>
    </row>
    <row r="31" spans="1:44" s="1692" customFormat="1" ht="18.75" hidden="1" customHeight="1">
      <c r="A31" s="1148"/>
      <c r="B31" s="1148"/>
      <c r="C31" s="1148"/>
      <c r="D31" s="1148"/>
      <c r="E31" s="1148"/>
      <c r="F31" s="1148"/>
      <c r="G31" s="1148"/>
      <c r="H31" s="1148"/>
      <c r="I31" s="1148"/>
      <c r="J31" s="1148"/>
      <c r="K31" s="1148"/>
      <c r="L31" s="1149"/>
      <c r="M31" s="1148"/>
      <c r="N31" s="1148"/>
      <c r="O31" s="1148"/>
      <c r="S31" s="2101" t="s">
        <v>350</v>
      </c>
      <c r="T31" s="2101"/>
      <c r="U31" s="1152"/>
      <c r="V31" s="2103" t="e">
        <f>IF(TITLE_NUMBER_PR_CHANGE="",IF(TITLE_NUMBER_PR="","",TITLE_NUMBER_PR),TITLE_NUMBER_PR_CHANGE)</f>
        <v>#REF!</v>
      </c>
      <c r="W31" s="2103"/>
      <c r="X31" s="2103"/>
      <c r="Y31" s="2103"/>
      <c r="Z31" s="2103"/>
      <c r="AA31" s="2103"/>
      <c r="AB31" s="2103"/>
      <c r="AC31" s="209"/>
      <c r="AD31" s="2103" t="e">
        <f>IF(TITLE_NUMBER_PR_CHANGE="",IF(TITLE_NUMBER_PR="","",TITLE_NUMBER_PR),TITLE_NUMBER_PR_CHANGE)</f>
        <v>#REF!</v>
      </c>
      <c r="AE31" s="2103"/>
      <c r="AF31" s="2103"/>
      <c r="AG31" s="2103"/>
      <c r="AH31" s="2103"/>
      <c r="AI31" s="2103"/>
      <c r="AJ31" s="2103"/>
      <c r="AK31" s="209"/>
      <c r="AL31" s="209"/>
      <c r="AM31" s="157"/>
      <c r="AN31" s="252"/>
      <c r="AO31" s="252"/>
      <c r="AP31" s="252"/>
      <c r="AQ31" s="252"/>
      <c r="AR31" s="252"/>
    </row>
    <row r="32" spans="1:44" s="1692" customFormat="1" ht="18.75" hidden="1" customHeight="1">
      <c r="A32" s="1148"/>
      <c r="B32" s="1148"/>
      <c r="C32" s="1148"/>
      <c r="D32" s="1148"/>
      <c r="E32" s="1148"/>
      <c r="F32" s="1148"/>
      <c r="G32" s="1148"/>
      <c r="H32" s="1148"/>
      <c r="I32" s="1148"/>
      <c r="J32" s="1148"/>
      <c r="K32" s="1148"/>
      <c r="L32" s="1149"/>
      <c r="M32" s="1148"/>
      <c r="N32" s="1148"/>
      <c r="O32" s="1148"/>
      <c r="S32" s="2101" t="s">
        <v>7</v>
      </c>
      <c r="T32" s="2101"/>
      <c r="U32" s="1152"/>
      <c r="V32" s="2103" t="e">
        <f>IF(TITLE_IST_PUB_CHANGE="",IF(TITLE_IST_PUB="","",TITLE_IST_PUB),TITLE_IST_PUB_CHANGE)</f>
        <v>#REF!</v>
      </c>
      <c r="W32" s="2103"/>
      <c r="X32" s="2103"/>
      <c r="Y32" s="2103"/>
      <c r="Z32" s="2103"/>
      <c r="AA32" s="2103"/>
      <c r="AB32" s="2103"/>
      <c r="AC32" s="209"/>
      <c r="AD32" s="2103" t="e">
        <f>IF(TITLE_IST_PUB_CHANGE="",IF(TITLE_IST_PUB="","",TITLE_IST_PUB),TITLE_IST_PUB_CHANGE)</f>
        <v>#REF!</v>
      </c>
      <c r="AE32" s="2103"/>
      <c r="AF32" s="2103"/>
      <c r="AG32" s="2103"/>
      <c r="AH32" s="2103"/>
      <c r="AI32" s="2103"/>
      <c r="AJ32" s="2103"/>
      <c r="AK32" s="209"/>
      <c r="AL32" s="209"/>
      <c r="AM32" s="157"/>
      <c r="AN32" s="252"/>
      <c r="AO32" s="252"/>
      <c r="AP32" s="252"/>
      <c r="AQ32" s="252"/>
      <c r="AR32" s="252"/>
    </row>
    <row r="33" spans="1:44" ht="14.25" hidden="1" customHeight="1">
      <c r="Q33" s="261"/>
      <c r="R33" s="261"/>
      <c r="S33" s="1059"/>
      <c r="T33" s="246"/>
      <c r="U33" s="246"/>
      <c r="V33" s="203"/>
      <c r="W33" s="203"/>
      <c r="X33" s="203"/>
      <c r="Y33" s="203"/>
      <c r="Z33" s="203"/>
      <c r="AA33" s="203"/>
      <c r="AB33" s="203"/>
      <c r="AC33" s="203"/>
      <c r="AD33" s="203"/>
      <c r="AE33" s="203"/>
      <c r="AF33" s="203"/>
      <c r="AG33" s="203"/>
      <c r="AH33" s="203"/>
      <c r="AI33" s="203"/>
      <c r="AJ33" s="203"/>
      <c r="AK33" s="203"/>
      <c r="AL33" s="377"/>
    </row>
    <row r="34" spans="1:44" s="1692" customFormat="1" ht="18.75" hidden="1" customHeight="1">
      <c r="A34" s="1148"/>
      <c r="B34" s="1148"/>
      <c r="C34" s="1148"/>
      <c r="D34" s="1148"/>
      <c r="E34" s="1148"/>
      <c r="F34" s="1148"/>
      <c r="G34" s="1148"/>
      <c r="H34" s="1148"/>
      <c r="I34" s="1148"/>
      <c r="J34" s="1148"/>
      <c r="K34" s="1148"/>
      <c r="L34" s="1149"/>
      <c r="M34" s="1148"/>
      <c r="N34" s="1148"/>
      <c r="O34" s="1148"/>
      <c r="S34" s="2101" t="s">
        <v>351</v>
      </c>
      <c r="T34" s="2101"/>
      <c r="U34" s="1152"/>
      <c r="V34" s="2102" t="e">
        <f>IF(TITLE_DATE_PR_CHANGE="",IF(TITLE_DATE_PR="","",TITLE_DATE_PR),TITLE_DATE_PR_CHANGE)</f>
        <v>#REF!</v>
      </c>
      <c r="W34" s="2102"/>
      <c r="X34" s="2102"/>
      <c r="Y34" s="2102"/>
      <c r="Z34" s="2102"/>
      <c r="AA34" s="2102"/>
      <c r="AB34" s="2102"/>
      <c r="AC34" s="209"/>
      <c r="AD34" s="2102" t="e">
        <f>IF(TITLE_DATE_PR_CHANGE="",IF(TITLE_DATE_PR="","",TITLE_DATE_PR),TITLE_DATE_PR_CHANGE)</f>
        <v>#REF!</v>
      </c>
      <c r="AE34" s="2102"/>
      <c r="AF34" s="2102"/>
      <c r="AG34" s="2102"/>
      <c r="AH34" s="2102"/>
      <c r="AI34" s="2102"/>
      <c r="AJ34" s="2102"/>
      <c r="AK34" s="209"/>
      <c r="AL34" s="209"/>
      <c r="AM34" s="157"/>
      <c r="AN34" s="252"/>
      <c r="AO34" s="252"/>
      <c r="AP34" s="252"/>
      <c r="AQ34" s="252"/>
      <c r="AR34" s="252"/>
    </row>
    <row r="35" spans="1:44" s="1692" customFormat="1" ht="18.75" hidden="1" customHeight="1">
      <c r="A35" s="1148"/>
      <c r="B35" s="1148"/>
      <c r="C35" s="1148"/>
      <c r="D35" s="1148"/>
      <c r="E35" s="1148"/>
      <c r="F35" s="1148"/>
      <c r="G35" s="1148"/>
      <c r="H35" s="1148"/>
      <c r="I35" s="1148"/>
      <c r="J35" s="1148"/>
      <c r="K35" s="1148"/>
      <c r="L35" s="1149"/>
      <c r="M35" s="1148"/>
      <c r="N35" s="1148"/>
      <c r="O35" s="1148"/>
      <c r="S35" s="2101" t="s">
        <v>352</v>
      </c>
      <c r="T35" s="2101"/>
      <c r="U35" s="1152"/>
      <c r="V35" s="2103" t="e">
        <f>IF(TITLE_NUMBER_PR_CHANGE="",IF(TITLE_NUMBER_PR="","",TITLE_NUMBER_PR),TITLE_NUMBER_PR_CHANGE)</f>
        <v>#REF!</v>
      </c>
      <c r="W35" s="2103"/>
      <c r="X35" s="2103"/>
      <c r="Y35" s="2103"/>
      <c r="Z35" s="2103"/>
      <c r="AA35" s="2103"/>
      <c r="AB35" s="2103"/>
      <c r="AC35" s="209"/>
      <c r="AD35" s="2103" t="e">
        <f>IF(TITLE_NUMBER_PR_CHANGE="",IF(TITLE_NUMBER_PR="","",TITLE_NUMBER_PR),TITLE_NUMBER_PR_CHANGE)</f>
        <v>#REF!</v>
      </c>
      <c r="AE35" s="2103"/>
      <c r="AF35" s="2103"/>
      <c r="AG35" s="2103"/>
      <c r="AH35" s="2103"/>
      <c r="AI35" s="2103"/>
      <c r="AJ35" s="2103"/>
      <c r="AK35" s="209"/>
      <c r="AL35" s="209"/>
      <c r="AM35" s="157"/>
      <c r="AN35" s="252"/>
      <c r="AO35" s="252"/>
      <c r="AP35" s="252"/>
      <c r="AQ35" s="252"/>
      <c r="AR35" s="252"/>
    </row>
    <row r="36" spans="1:44" s="1692" customFormat="1" ht="0" hidden="1" customHeight="1">
      <c r="A36" s="1148"/>
      <c r="B36" s="1148"/>
      <c r="C36" s="1148"/>
      <c r="D36" s="1148"/>
      <c r="E36" s="1148"/>
      <c r="F36" s="1148"/>
      <c r="G36" s="1148"/>
      <c r="H36" s="1148"/>
      <c r="I36" s="1148"/>
      <c r="J36" s="1148"/>
      <c r="K36" s="1148"/>
      <c r="L36" s="1149"/>
      <c r="M36" s="1148"/>
      <c r="N36" s="1148"/>
      <c r="O36" s="1148"/>
      <c r="S36" s="205"/>
      <c r="T36" s="205"/>
      <c r="U36" s="1121"/>
      <c r="V36" s="209"/>
      <c r="W36" s="209"/>
      <c r="X36" s="209"/>
      <c r="Y36" s="209"/>
      <c r="Z36" s="209"/>
      <c r="AA36" s="209"/>
      <c r="AB36" s="209"/>
      <c r="AC36" s="155" t="s">
        <v>353</v>
      </c>
      <c r="AD36" s="209"/>
      <c r="AE36" s="209"/>
      <c r="AF36" s="209"/>
      <c r="AG36" s="209"/>
      <c r="AH36" s="209"/>
      <c r="AI36" s="209"/>
      <c r="AJ36" s="209"/>
      <c r="AK36" s="155" t="s">
        <v>353</v>
      </c>
      <c r="AN36" s="252"/>
      <c r="AO36" s="252"/>
      <c r="AP36" s="252"/>
      <c r="AQ36" s="252"/>
      <c r="AR36" s="252"/>
    </row>
    <row r="37" spans="1:44" ht="14.25" customHeight="1">
      <c r="Q37" s="261"/>
      <c r="R37" s="261"/>
      <c r="S37" s="1059"/>
      <c r="T37" s="246"/>
      <c r="U37" s="1020"/>
      <c r="V37" s="2123"/>
      <c r="W37" s="2123"/>
      <c r="X37" s="2123"/>
      <c r="Y37" s="2123"/>
      <c r="Z37" s="2123"/>
      <c r="AA37" s="2123"/>
      <c r="AB37" s="2123"/>
      <c r="AC37" s="2123"/>
      <c r="AD37" s="2123"/>
      <c r="AE37" s="2123"/>
      <c r="AF37" s="2123"/>
      <c r="AG37" s="2123"/>
      <c r="AH37" s="2123"/>
      <c r="AI37" s="2123"/>
      <c r="AJ37" s="2123"/>
      <c r="AK37" s="2123"/>
    </row>
    <row r="38" spans="1:44" ht="14.25" customHeight="1">
      <c r="Q38" s="261"/>
      <c r="R38" s="261"/>
      <c r="S38" s="2025" t="s">
        <v>224</v>
      </c>
      <c r="T38" s="2025"/>
      <c r="U38" s="2025"/>
      <c r="V38" s="2025"/>
      <c r="W38" s="2025"/>
      <c r="X38" s="2025"/>
      <c r="Y38" s="2025"/>
      <c r="Z38" s="2025"/>
      <c r="AA38" s="2025"/>
      <c r="AB38" s="2025"/>
      <c r="AC38" s="2025"/>
      <c r="AD38" s="2025"/>
      <c r="AE38" s="2025"/>
      <c r="AF38" s="2025"/>
      <c r="AG38" s="2025"/>
      <c r="AH38" s="2025"/>
      <c r="AI38" s="2025"/>
      <c r="AJ38" s="2025"/>
      <c r="AK38" s="2025"/>
      <c r="AL38" s="2025"/>
      <c r="AM38" s="2025" t="s">
        <v>225</v>
      </c>
    </row>
    <row r="39" spans="1:44" ht="14.25" customHeight="1">
      <c r="Q39" s="261"/>
      <c r="R39" s="261"/>
      <c r="S39" s="2124" t="s">
        <v>22</v>
      </c>
      <c r="T39" s="2068" t="s">
        <v>354</v>
      </c>
      <c r="U39" s="176"/>
      <c r="V39" s="2125" t="s">
        <v>355</v>
      </c>
      <c r="W39" s="2126"/>
      <c r="X39" s="2126"/>
      <c r="Y39" s="2126"/>
      <c r="Z39" s="2126"/>
      <c r="AA39" s="2126"/>
      <c r="AB39" s="2127"/>
      <c r="AC39" s="2128" t="s">
        <v>356</v>
      </c>
      <c r="AD39" s="2125" t="s">
        <v>355</v>
      </c>
      <c r="AE39" s="2126"/>
      <c r="AF39" s="2126"/>
      <c r="AG39" s="2126"/>
      <c r="AH39" s="2126"/>
      <c r="AI39" s="2126"/>
      <c r="AJ39" s="2127"/>
      <c r="AK39" s="2128" t="s">
        <v>357</v>
      </c>
      <c r="AL39" s="2131" t="s">
        <v>358</v>
      </c>
      <c r="AM39" s="2025"/>
    </row>
    <row r="40" spans="1:44" ht="33.75" customHeight="1">
      <c r="Q40" s="261"/>
      <c r="R40" s="261"/>
      <c r="S40" s="2124"/>
      <c r="T40" s="2068"/>
      <c r="U40" s="814"/>
      <c r="V40" s="2036" t="s">
        <v>359</v>
      </c>
      <c r="W40" s="2120"/>
      <c r="X40" s="1956" t="s">
        <v>361</v>
      </c>
      <c r="Y40" s="1958"/>
      <c r="Z40" s="1956" t="s">
        <v>362</v>
      </c>
      <c r="AA40" s="1957"/>
      <c r="AB40" s="1958"/>
      <c r="AC40" s="2129"/>
      <c r="AD40" s="2036" t="s">
        <v>359</v>
      </c>
      <c r="AE40" s="2120"/>
      <c r="AF40" s="1956" t="s">
        <v>361</v>
      </c>
      <c r="AG40" s="1958"/>
      <c r="AH40" s="1956" t="s">
        <v>362</v>
      </c>
      <c r="AI40" s="1957"/>
      <c r="AJ40" s="1958"/>
      <c r="AK40" s="2129"/>
      <c r="AL40" s="2132"/>
      <c r="AM40" s="2025"/>
    </row>
    <row r="41" spans="1:44" ht="33.75" customHeight="1">
      <c r="A41" s="1150"/>
      <c r="B41" s="1150" t="s">
        <v>73</v>
      </c>
      <c r="C41" s="1150" t="s">
        <v>74</v>
      </c>
      <c r="D41" s="1150" t="s">
        <v>75</v>
      </c>
      <c r="E41" s="1144" t="s">
        <v>363</v>
      </c>
      <c r="F41" s="1144" t="s">
        <v>364</v>
      </c>
      <c r="G41" s="1144" t="s">
        <v>365</v>
      </c>
      <c r="H41" s="1144" t="s">
        <v>366</v>
      </c>
      <c r="I41" s="1144" t="s">
        <v>367</v>
      </c>
      <c r="J41" s="1144" t="s">
        <v>368</v>
      </c>
      <c r="K41" s="1144" t="s">
        <v>369</v>
      </c>
      <c r="L41" s="1144" t="s">
        <v>344</v>
      </c>
      <c r="Q41" s="261"/>
      <c r="R41" s="261"/>
      <c r="S41" s="2124"/>
      <c r="T41" s="2068"/>
      <c r="U41" s="177"/>
      <c r="V41" s="2093"/>
      <c r="W41" s="2121"/>
      <c r="X41" s="995" t="s">
        <v>370</v>
      </c>
      <c r="Y41" s="995" t="s">
        <v>371</v>
      </c>
      <c r="Z41" s="1119" t="s">
        <v>372</v>
      </c>
      <c r="AA41" s="2073" t="s">
        <v>373</v>
      </c>
      <c r="AB41" s="2087"/>
      <c r="AC41" s="2130"/>
      <c r="AD41" s="2093"/>
      <c r="AE41" s="2121"/>
      <c r="AF41" s="995" t="s">
        <v>370</v>
      </c>
      <c r="AG41" s="995" t="s">
        <v>371</v>
      </c>
      <c r="AH41" s="1119" t="s">
        <v>372</v>
      </c>
      <c r="AI41" s="2073" t="s">
        <v>373</v>
      </c>
      <c r="AJ41" s="2087"/>
      <c r="AK41" s="2130"/>
      <c r="AL41" s="2133"/>
      <c r="AM41" s="2025"/>
    </row>
    <row r="42" spans="1:44" s="1621" customFormat="1" ht="11.25" hidden="1" customHeight="1">
      <c r="A42" s="1150"/>
      <c r="B42" s="1150"/>
      <c r="C42" s="1150"/>
      <c r="D42" s="1150"/>
      <c r="E42" s="1150"/>
      <c r="F42" s="1150"/>
      <c r="G42" s="1150"/>
      <c r="H42" s="1150"/>
      <c r="I42" s="1150"/>
      <c r="J42" s="1150"/>
      <c r="K42" s="1150"/>
      <c r="L42" s="1144"/>
      <c r="M42" s="1142"/>
      <c r="N42" s="1142"/>
      <c r="O42" s="1142"/>
      <c r="P42" s="1022"/>
      <c r="Q42" s="1023"/>
      <c r="R42" s="1038">
        <v>1</v>
      </c>
      <c r="S42" s="1061" t="s">
        <v>43</v>
      </c>
      <c r="T42" s="1039" t="s">
        <v>44</v>
      </c>
      <c r="U42" s="1021" t="str">
        <f ca="1">OFFSET(U42,0,-1)</f>
        <v>2</v>
      </c>
      <c r="V42" s="1116">
        <f ca="1">OFFSET(V42,0,-1)+1</f>
        <v>3</v>
      </c>
      <c r="W42" s="1116"/>
      <c r="X42" s="1116">
        <f ca="1">OFFSET(X42,0,-1)+1</f>
        <v>1</v>
      </c>
      <c r="Y42" s="1116">
        <f ca="1">OFFSET(Y42,0,-1)+1</f>
        <v>2</v>
      </c>
      <c r="Z42" s="1116">
        <f ca="1">OFFSET(Z42,0,-1)+1</f>
        <v>3</v>
      </c>
      <c r="AA42" s="2122">
        <f ca="1">OFFSET(AA42,0,-1)+1</f>
        <v>4</v>
      </c>
      <c r="AB42" s="2122"/>
      <c r="AC42" s="1116">
        <f ca="1">OFFSET(AC42,0,-2)+1</f>
        <v>5</v>
      </c>
      <c r="AD42" s="1116">
        <f ca="1">OFFSET(AD42,0,-1)+1</f>
        <v>6</v>
      </c>
      <c r="AE42" s="1116"/>
      <c r="AF42" s="1116">
        <f ca="1">OFFSET(AF42,0,-1)+1</f>
        <v>1</v>
      </c>
      <c r="AG42" s="1116">
        <f ca="1">OFFSET(AG42,0,-1)+1</f>
        <v>2</v>
      </c>
      <c r="AH42" s="1116">
        <f ca="1">OFFSET(AH42,0,-1)+1</f>
        <v>3</v>
      </c>
      <c r="AI42" s="2122">
        <f ca="1">OFFSET(AI42,0,-1)+1</f>
        <v>4</v>
      </c>
      <c r="AJ42" s="2122"/>
      <c r="AK42" s="1116">
        <f ca="1">OFFSET(AK42,0,-2)+1</f>
        <v>5</v>
      </c>
      <c r="AL42" s="1021">
        <f ca="1">OFFSET(AL42,0,-1)</f>
        <v>5</v>
      </c>
      <c r="AM42" s="1116">
        <f ca="1">OFFSET(AM42,0,-1)+1</f>
        <v>6</v>
      </c>
      <c r="AN42" s="379"/>
      <c r="AO42" s="379"/>
      <c r="AP42" s="379"/>
      <c r="AQ42" s="379"/>
      <c r="AR42" s="379"/>
    </row>
    <row r="43" spans="1:44" ht="21" customHeight="1">
      <c r="A43" s="1143" t="s">
        <v>118</v>
      </c>
      <c r="B43" s="1143"/>
      <c r="C43" s="1143"/>
      <c r="D43" s="1143"/>
      <c r="E43" s="2111">
        <v>1</v>
      </c>
      <c r="F43" s="1143"/>
      <c r="G43" s="1143"/>
      <c r="H43" s="1143"/>
      <c r="I43" s="1143"/>
      <c r="J43" s="1143"/>
      <c r="K43" s="1143"/>
      <c r="L43" s="1144"/>
      <c r="M43" s="1145"/>
      <c r="N43" s="1145"/>
      <c r="O43" s="1145"/>
      <c r="P43" s="242"/>
      <c r="Q43" s="241"/>
      <c r="R43" s="236"/>
      <c r="S43" s="1117">
        <f>INDEX(PT_DIFFERENTIATION_NUM_NTAR,MATCH(A43,PT_DIFFERENTIATION_NTAR_ID,0))</f>
        <v>0</v>
      </c>
      <c r="T43" s="173" t="s">
        <v>61</v>
      </c>
      <c r="U43" s="175"/>
      <c r="V43" s="2104"/>
      <c r="W43" s="2105"/>
      <c r="X43" s="2105"/>
      <c r="Y43" s="2105"/>
      <c r="Z43" s="2105"/>
      <c r="AA43" s="2105"/>
      <c r="AB43" s="2105"/>
      <c r="AC43" s="2106"/>
      <c r="AD43" s="2104" t="str">
        <f>INDEX(PT_DIFFERENTIATION_NTAR,MATCH(A43,PT_DIFFERENTIATION_NTAR_ID,0))</f>
        <v/>
      </c>
      <c r="AE43" s="2105"/>
      <c r="AF43" s="2105"/>
      <c r="AG43" s="2105"/>
      <c r="AH43" s="2105"/>
      <c r="AI43" s="2105"/>
      <c r="AJ43" s="2105"/>
      <c r="AK43" s="2105"/>
      <c r="AL43" s="2106"/>
      <c r="AM43" s="104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68"/>
      <c r="AP43" s="368" t="str">
        <f t="shared" ref="AP43:AP57" si="1">IF(T43="","",T43)</f>
        <v>Наименование тарифа</v>
      </c>
      <c r="AQ43" s="368"/>
      <c r="AR43" s="368"/>
    </row>
    <row r="44" spans="1:44" ht="21" customHeight="1">
      <c r="A44" s="1143" t="s">
        <v>118</v>
      </c>
      <c r="B44" s="1143" t="s">
        <v>119</v>
      </c>
      <c r="C44" s="1143"/>
      <c r="D44" s="1143"/>
      <c r="E44" s="2112"/>
      <c r="F44" s="2111">
        <v>1</v>
      </c>
      <c r="G44" s="1143"/>
      <c r="H44" s="1143"/>
      <c r="I44" s="1143"/>
      <c r="J44" s="1143"/>
      <c r="K44" s="1143"/>
      <c r="L44" s="1144"/>
      <c r="M44" s="1145"/>
      <c r="N44" s="1145"/>
      <c r="O44" s="1145"/>
      <c r="P44" s="1113"/>
      <c r="Q44" s="233"/>
      <c r="R44" s="234"/>
      <c r="S44" s="1117" t="str">
        <f>INDEX(PT_DIFFERENTIATION_NUM_TER,MATCH(B44,PT_DIFFERENTIATION_TER_ID,0))</f>
        <v>.</v>
      </c>
      <c r="T44" s="185" t="s">
        <v>323</v>
      </c>
      <c r="U44" s="175"/>
      <c r="V44" s="2104"/>
      <c r="W44" s="2105"/>
      <c r="X44" s="2105"/>
      <c r="Y44" s="2105"/>
      <c r="Z44" s="2105"/>
      <c r="AA44" s="2105"/>
      <c r="AB44" s="2105"/>
      <c r="AC44" s="2106"/>
      <c r="AD44" s="2104" t="str">
        <f>INDEX(PT_DIFFERENTIATION_TER,MATCH(B44,PT_DIFFERENTIATION_TER_ID,0))</f>
        <v/>
      </c>
      <c r="AE44" s="2105"/>
      <c r="AF44" s="2105"/>
      <c r="AG44" s="2105"/>
      <c r="AH44" s="2105"/>
      <c r="AI44" s="2105"/>
      <c r="AJ44" s="2105"/>
      <c r="AK44" s="2105"/>
      <c r="AL44" s="2106"/>
      <c r="AM44" s="1044" t="s">
        <v>324</v>
      </c>
      <c r="AO44" s="368"/>
      <c r="AP44" s="368" t="str">
        <f t="shared" si="1"/>
        <v>Территория действия тарифа</v>
      </c>
      <c r="AQ44" s="368"/>
      <c r="AR44" s="368"/>
    </row>
    <row r="45" spans="1:44" ht="23.25" customHeight="1">
      <c r="A45" s="1143" t="s">
        <v>118</v>
      </c>
      <c r="B45" s="1143" t="s">
        <v>119</v>
      </c>
      <c r="C45" s="1143" t="s">
        <v>120</v>
      </c>
      <c r="D45" s="1143"/>
      <c r="E45" s="2112"/>
      <c r="F45" s="2112"/>
      <c r="G45" s="2111">
        <v>1</v>
      </c>
      <c r="H45" s="1143"/>
      <c r="I45" s="1143"/>
      <c r="J45" s="1143"/>
      <c r="K45" s="1143"/>
      <c r="L45" s="1144"/>
      <c r="M45" s="1145"/>
      <c r="N45" s="1145"/>
      <c r="O45" s="1145"/>
      <c r="P45" s="235"/>
      <c r="Q45" s="233"/>
      <c r="R45" s="234"/>
      <c r="S45" s="1117" t="str">
        <f>INDEX(PT_DIFFERENTIATION_NUM_CS,MATCH(C45,PT_DIFFERENTIATION_CS_ID,0))</f>
        <v>..</v>
      </c>
      <c r="T45" s="186" t="s">
        <v>325</v>
      </c>
      <c r="U45" s="175"/>
      <c r="V45" s="2104"/>
      <c r="W45" s="2105"/>
      <c r="X45" s="2105"/>
      <c r="Y45" s="2105"/>
      <c r="Z45" s="2105"/>
      <c r="AA45" s="2105"/>
      <c r="AB45" s="2105"/>
      <c r="AC45" s="2106"/>
      <c r="AD45" s="2104" t="str">
        <f>INDEX(PT_DIFFERENTIATION_CS,MATCH(C45,PT_DIFFERENTIATION_CS_ID,0))</f>
        <v/>
      </c>
      <c r="AE45" s="2105"/>
      <c r="AF45" s="2105"/>
      <c r="AG45" s="2105"/>
      <c r="AH45" s="2105"/>
      <c r="AI45" s="2105"/>
      <c r="AJ45" s="2105"/>
      <c r="AK45" s="2105"/>
      <c r="AL45" s="2106"/>
      <c r="AM45" s="1044" t="s">
        <v>326</v>
      </c>
      <c r="AO45" s="368"/>
      <c r="AP45" s="368" t="str">
        <f t="shared" si="1"/>
        <v xml:space="preserve">Наименование системы теплоснабжения </v>
      </c>
      <c r="AQ45" s="368"/>
      <c r="AR45" s="368"/>
    </row>
    <row r="46" spans="1:44" ht="21" customHeight="1">
      <c r="A46" s="1143" t="s">
        <v>118</v>
      </c>
      <c r="B46" s="1143" t="s">
        <v>119</v>
      </c>
      <c r="C46" s="1143" t="s">
        <v>120</v>
      </c>
      <c r="D46" s="1143" t="s">
        <v>121</v>
      </c>
      <c r="E46" s="2112"/>
      <c r="F46" s="2112"/>
      <c r="G46" s="2112"/>
      <c r="H46" s="2111">
        <v>1</v>
      </c>
      <c r="I46" s="1143"/>
      <c r="J46" s="1143"/>
      <c r="K46" s="1143"/>
      <c r="L46" s="1144"/>
      <c r="M46" s="1145"/>
      <c r="N46" s="1145"/>
      <c r="O46" s="1145"/>
      <c r="P46" s="235"/>
      <c r="Q46" s="233"/>
      <c r="R46" s="234"/>
      <c r="S46" s="1117" t="str">
        <f>INDEX(PT_DIFFERENTIATION_NUM_IST_TE,MATCH(D46,PT_DIFFERENTIATION_IST_TE_ID,0))</f>
        <v>...</v>
      </c>
      <c r="T46" s="187" t="s">
        <v>327</v>
      </c>
      <c r="U46" s="175"/>
      <c r="V46" s="2104"/>
      <c r="W46" s="2105"/>
      <c r="X46" s="2105"/>
      <c r="Y46" s="2105"/>
      <c r="Z46" s="2105"/>
      <c r="AA46" s="2105"/>
      <c r="AB46" s="2105"/>
      <c r="AC46" s="2106"/>
      <c r="AD46" s="2104" t="str">
        <f>INDEX(PT_DIFFERENTIATION_IST_TE,MATCH(D46,PT_DIFFERENTIATION_IST_TE_ID,0))</f>
        <v/>
      </c>
      <c r="AE46" s="2105"/>
      <c r="AF46" s="2105"/>
      <c r="AG46" s="2105"/>
      <c r="AH46" s="2105"/>
      <c r="AI46" s="2105"/>
      <c r="AJ46" s="2105"/>
      <c r="AK46" s="2105"/>
      <c r="AL46" s="2106"/>
      <c r="AM46" s="1044" t="s">
        <v>328</v>
      </c>
      <c r="AO46" s="368"/>
      <c r="AP46" s="368" t="str">
        <f t="shared" si="1"/>
        <v xml:space="preserve">Источник тепловой энергии  </v>
      </c>
      <c r="AQ46" s="368"/>
      <c r="AR46" s="368"/>
    </row>
    <row r="47" spans="1:44" s="1622" customFormat="1" ht="0" hidden="1" customHeight="1">
      <c r="A47" s="1124" t="s">
        <v>118</v>
      </c>
      <c r="B47" s="1124" t="s">
        <v>119</v>
      </c>
      <c r="C47" s="1124" t="s">
        <v>120</v>
      </c>
      <c r="D47" s="1124" t="s">
        <v>121</v>
      </c>
      <c r="E47" s="2112"/>
      <c r="F47" s="2112"/>
      <c r="G47" s="2112"/>
      <c r="H47" s="2112"/>
      <c r="I47" s="2113" t="str">
        <f>S46&amp;".1"</f>
        <v>....1</v>
      </c>
      <c r="J47" s="1124"/>
      <c r="K47" s="1124"/>
      <c r="L47" s="1127" t="s">
        <v>329</v>
      </c>
      <c r="M47" s="378"/>
      <c r="N47" s="378"/>
      <c r="O47" s="378"/>
      <c r="P47" s="2115">
        <v>1</v>
      </c>
      <c r="Q47" s="1112"/>
      <c r="R47" s="237"/>
      <c r="S47" s="825"/>
      <c r="T47" s="1163"/>
      <c r="U47" s="1164"/>
      <c r="V47" s="2140"/>
      <c r="W47" s="2141"/>
      <c r="X47" s="2141"/>
      <c r="Y47" s="2141"/>
      <c r="Z47" s="2141"/>
      <c r="AA47" s="2141"/>
      <c r="AB47" s="2141"/>
      <c r="AC47" s="2142"/>
      <c r="AD47" s="2140"/>
      <c r="AE47" s="2141"/>
      <c r="AF47" s="2141"/>
      <c r="AG47" s="2141"/>
      <c r="AH47" s="2141"/>
      <c r="AI47" s="2141"/>
      <c r="AJ47" s="2141"/>
      <c r="AK47" s="2141"/>
      <c r="AL47" s="2142"/>
      <c r="AM47" s="1165"/>
      <c r="AO47" s="368"/>
      <c r="AP47" s="368" t="str">
        <f t="shared" si="1"/>
        <v/>
      </c>
      <c r="AQ47" s="368"/>
      <c r="AR47" s="368"/>
    </row>
    <row r="48" spans="1:44" ht="21" customHeight="1">
      <c r="A48" s="1143" t="s">
        <v>118</v>
      </c>
      <c r="B48" s="1143" t="s">
        <v>119</v>
      </c>
      <c r="C48" s="1143" t="s">
        <v>120</v>
      </c>
      <c r="D48" s="1143" t="s">
        <v>121</v>
      </c>
      <c r="E48" s="2112"/>
      <c r="F48" s="2112"/>
      <c r="G48" s="2112"/>
      <c r="H48" s="2112"/>
      <c r="I48" s="2114"/>
      <c r="J48" s="2113" t="str">
        <f>S46&amp;".1"</f>
        <v>....1</v>
      </c>
      <c r="K48" s="1143"/>
      <c r="L48" s="1144" t="s">
        <v>332</v>
      </c>
      <c r="P48" s="2115"/>
      <c r="Q48" s="2115">
        <v>1</v>
      </c>
      <c r="R48" s="238"/>
      <c r="S48" s="1117" t="str">
        <f>$J48</f>
        <v>....1</v>
      </c>
      <c r="T48" s="162" t="s">
        <v>333</v>
      </c>
      <c r="U48" s="175"/>
      <c r="V48" s="2098"/>
      <c r="W48" s="2099"/>
      <c r="X48" s="2099"/>
      <c r="Y48" s="2099"/>
      <c r="Z48" s="2099"/>
      <c r="AA48" s="2099"/>
      <c r="AB48" s="2099"/>
      <c r="AC48" s="2100"/>
      <c r="AD48" s="2098"/>
      <c r="AE48" s="2099"/>
      <c r="AF48" s="2099"/>
      <c r="AG48" s="2099"/>
      <c r="AH48" s="2099"/>
      <c r="AI48" s="2099"/>
      <c r="AJ48" s="2099"/>
      <c r="AK48" s="2099"/>
      <c r="AL48" s="2100"/>
      <c r="AM48" s="1044" t="s">
        <v>334</v>
      </c>
      <c r="AO48" s="368"/>
      <c r="AP48" s="368" t="str">
        <f t="shared" si="1"/>
        <v>Группа потребителей</v>
      </c>
      <c r="AQ48" s="368"/>
      <c r="AR48" s="368"/>
    </row>
    <row r="49" spans="1:44" ht="21" customHeight="1">
      <c r="A49" s="1143" t="s">
        <v>118</v>
      </c>
      <c r="B49" s="1143" t="s">
        <v>119</v>
      </c>
      <c r="C49" s="1143" t="s">
        <v>120</v>
      </c>
      <c r="D49" s="1143" t="s">
        <v>121</v>
      </c>
      <c r="E49" s="2112"/>
      <c r="F49" s="2112"/>
      <c r="G49" s="2112"/>
      <c r="H49" s="2112"/>
      <c r="I49" s="2114"/>
      <c r="J49" s="2114"/>
      <c r="K49" s="2113" t="str">
        <f>J48&amp;".1"</f>
        <v>....1.1</v>
      </c>
      <c r="L49" s="1144" t="s">
        <v>335</v>
      </c>
      <c r="P49" s="2115"/>
      <c r="Q49" s="2115"/>
      <c r="R49" s="238">
        <v>1</v>
      </c>
      <c r="S49" s="1117" t="str">
        <f>$K49</f>
        <v>....1.1</v>
      </c>
      <c r="T49" s="1128"/>
      <c r="U49" s="175"/>
      <c r="V49" s="576"/>
      <c r="W49" s="207"/>
      <c r="X49" s="576"/>
      <c r="Y49" s="1043"/>
      <c r="Z49" s="2116"/>
      <c r="AA49" s="2109" t="s">
        <v>16</v>
      </c>
      <c r="AB49" s="2116"/>
      <c r="AC49" s="2109" t="s">
        <v>16</v>
      </c>
      <c r="AD49" s="576"/>
      <c r="AE49" s="207"/>
      <c r="AF49" s="576"/>
      <c r="AG49" s="1043"/>
      <c r="AH49" s="2116"/>
      <c r="AI49" s="2109" t="s">
        <v>16</v>
      </c>
      <c r="AJ49" s="2118"/>
      <c r="AK49" s="2109" t="s">
        <v>16</v>
      </c>
      <c r="AL49" s="1129"/>
      <c r="AM49" s="2134" t="s">
        <v>376</v>
      </c>
      <c r="AN49" s="379" t="e">
        <f ca="1">STRCHECKDATE(V50:AL50)</f>
        <v>#NAME?</v>
      </c>
      <c r="AO49" s="368"/>
      <c r="AP49" s="368" t="str">
        <f t="shared" si="1"/>
        <v/>
      </c>
      <c r="AQ49" s="368"/>
      <c r="AR49" s="368"/>
    </row>
    <row r="50" spans="1:44" ht="0.75" customHeight="1">
      <c r="A50" s="1143" t="s">
        <v>118</v>
      </c>
      <c r="B50" s="1143" t="s">
        <v>119</v>
      </c>
      <c r="C50" s="1143" t="s">
        <v>120</v>
      </c>
      <c r="D50" s="1143" t="s">
        <v>121</v>
      </c>
      <c r="E50" s="2112"/>
      <c r="F50" s="2112"/>
      <c r="G50" s="2112"/>
      <c r="H50" s="2112"/>
      <c r="I50" s="2114"/>
      <c r="J50" s="2114"/>
      <c r="K50" s="2113"/>
      <c r="L50" s="1144"/>
      <c r="P50" s="2115"/>
      <c r="Q50" s="2115"/>
      <c r="R50" s="238"/>
      <c r="S50" s="1123"/>
      <c r="T50" s="175"/>
      <c r="U50" s="175"/>
      <c r="V50" s="207"/>
      <c r="W50" s="207"/>
      <c r="X50" s="207"/>
      <c r="Y50" s="211" t="str">
        <f>Z49&amp;"-"&amp;AB49</f>
        <v>-</v>
      </c>
      <c r="Z50" s="2117"/>
      <c r="AA50" s="2109"/>
      <c r="AB50" s="2117"/>
      <c r="AC50" s="2109"/>
      <c r="AD50" s="207"/>
      <c r="AE50" s="207"/>
      <c r="AF50" s="207"/>
      <c r="AG50" s="211" t="str">
        <f>AH49&amp;"-"&amp;AJ49</f>
        <v>-</v>
      </c>
      <c r="AH50" s="2117"/>
      <c r="AI50" s="2109"/>
      <c r="AJ50" s="2119"/>
      <c r="AK50" s="2109"/>
      <c r="AL50" s="1130"/>
      <c r="AM50" s="2135"/>
      <c r="AO50" s="368"/>
      <c r="AP50" s="368" t="str">
        <f t="shared" si="1"/>
        <v/>
      </c>
      <c r="AQ50" s="368"/>
      <c r="AR50" s="368"/>
    </row>
    <row r="51" spans="1:44" ht="11.25" customHeight="1">
      <c r="A51" s="1143" t="s">
        <v>118</v>
      </c>
      <c r="B51" s="1143" t="s">
        <v>119</v>
      </c>
      <c r="C51" s="1143" t="s">
        <v>120</v>
      </c>
      <c r="D51" s="1143" t="s">
        <v>121</v>
      </c>
      <c r="E51" s="2112"/>
      <c r="F51" s="2112"/>
      <c r="G51" s="2112"/>
      <c r="H51" s="2112"/>
      <c r="I51" s="2114"/>
      <c r="J51" s="2113"/>
      <c r="K51" s="1143"/>
      <c r="L51" s="1144"/>
      <c r="P51" s="2115"/>
      <c r="Q51" s="2115"/>
      <c r="R51" s="237"/>
      <c r="S51" s="1062"/>
      <c r="T51" s="163" t="s">
        <v>337</v>
      </c>
      <c r="U51" s="251"/>
      <c r="V51" s="251"/>
      <c r="W51" s="251"/>
      <c r="X51" s="251"/>
      <c r="Y51" s="251"/>
      <c r="Z51" s="251"/>
      <c r="AA51" s="251"/>
      <c r="AB51" s="251"/>
      <c r="AC51" s="251"/>
      <c r="AD51" s="251"/>
      <c r="AE51" s="251"/>
      <c r="AF51" s="251"/>
      <c r="AG51" s="251"/>
      <c r="AH51" s="251"/>
      <c r="AI51" s="251"/>
      <c r="AJ51" s="251"/>
      <c r="AK51" s="251"/>
      <c r="AL51" s="206"/>
      <c r="AM51" s="2136"/>
      <c r="AO51" s="368"/>
      <c r="AP51" s="368" t="str">
        <f t="shared" si="1"/>
        <v>Добавить вид теплоносителя (параметры теплоносителя)</v>
      </c>
      <c r="AQ51" s="368"/>
      <c r="AR51" s="368"/>
    </row>
    <row r="52" spans="1:44" ht="11.25" customHeight="1">
      <c r="A52" s="1143" t="s">
        <v>118</v>
      </c>
      <c r="B52" s="1143" t="s">
        <v>119</v>
      </c>
      <c r="C52" s="1143" t="s">
        <v>120</v>
      </c>
      <c r="D52" s="1143" t="s">
        <v>121</v>
      </c>
      <c r="E52" s="2112"/>
      <c r="F52" s="2112"/>
      <c r="G52" s="2112"/>
      <c r="H52" s="2112"/>
      <c r="I52" s="2113"/>
      <c r="J52" s="1143"/>
      <c r="K52" s="1143"/>
      <c r="L52" s="1144"/>
      <c r="P52" s="2115"/>
      <c r="Q52" s="1112"/>
      <c r="R52" s="237"/>
      <c r="S52" s="1062"/>
      <c r="T52" s="248" t="s">
        <v>338</v>
      </c>
      <c r="U52" s="251"/>
      <c r="V52" s="251"/>
      <c r="W52" s="251"/>
      <c r="X52" s="251"/>
      <c r="Y52" s="251"/>
      <c r="Z52" s="251"/>
      <c r="AA52" s="251"/>
      <c r="AB52" s="251"/>
      <c r="AC52" s="250"/>
      <c r="AD52" s="251"/>
      <c r="AE52" s="251"/>
      <c r="AF52" s="251"/>
      <c r="AG52" s="251"/>
      <c r="AH52" s="251"/>
      <c r="AI52" s="251"/>
      <c r="AJ52" s="251"/>
      <c r="AK52" s="250"/>
      <c r="AL52" s="251"/>
      <c r="AM52" s="178"/>
      <c r="AO52" s="368"/>
      <c r="AP52" s="368" t="str">
        <f t="shared" si="1"/>
        <v>Добавить группу потребителей</v>
      </c>
      <c r="AQ52" s="368"/>
      <c r="AR52" s="368"/>
    </row>
    <row r="53" spans="1:44" ht="0" hidden="1" customHeight="1">
      <c r="A53" s="1143" t="s">
        <v>118</v>
      </c>
      <c r="B53" s="1143" t="s">
        <v>119</v>
      </c>
      <c r="C53" s="1143" t="s">
        <v>120</v>
      </c>
      <c r="D53" s="1143" t="s">
        <v>121</v>
      </c>
      <c r="E53" s="2112"/>
      <c r="F53" s="2112"/>
      <c r="G53" s="2112"/>
      <c r="H53" s="2111"/>
      <c r="I53" s="1143"/>
      <c r="J53" s="1143"/>
      <c r="K53" s="1143"/>
      <c r="L53" s="1144"/>
      <c r="M53" s="1145"/>
      <c r="N53" s="1145"/>
      <c r="O53" s="395"/>
      <c r="P53" s="241"/>
      <c r="Q53" s="260"/>
      <c r="R53" s="236"/>
      <c r="S53" s="1166"/>
      <c r="T53" s="1167"/>
      <c r="U53" s="1168"/>
      <c r="V53" s="1168"/>
      <c r="W53" s="1168"/>
      <c r="X53" s="1168"/>
      <c r="Y53" s="1168"/>
      <c r="Z53" s="1168"/>
      <c r="AA53" s="1168"/>
      <c r="AB53" s="1168"/>
      <c r="AC53" s="1168"/>
      <c r="AD53" s="1168"/>
      <c r="AE53" s="1168"/>
      <c r="AF53" s="1168"/>
      <c r="AG53" s="1168"/>
      <c r="AH53" s="1168"/>
      <c r="AI53" s="1168"/>
      <c r="AJ53" s="1168"/>
      <c r="AK53" s="1168"/>
      <c r="AL53" s="1168"/>
      <c r="AM53" s="1169"/>
      <c r="AO53" s="368"/>
      <c r="AP53" s="368" t="str">
        <f t="shared" si="1"/>
        <v/>
      </c>
      <c r="AQ53" s="368"/>
      <c r="AR53" s="368"/>
    </row>
    <row r="54" spans="1:44" s="1686" customFormat="1" ht="0.75" customHeight="1">
      <c r="A54" s="1124" t="s">
        <v>118</v>
      </c>
      <c r="B54" s="1124" t="s">
        <v>119</v>
      </c>
      <c r="C54" s="1124" t="s">
        <v>120</v>
      </c>
      <c r="D54" s="1096"/>
      <c r="E54" s="2112"/>
      <c r="F54" s="2112"/>
      <c r="G54" s="2111"/>
      <c r="H54" s="1096"/>
      <c r="I54" s="1096"/>
      <c r="J54" s="1096"/>
      <c r="K54" s="1096"/>
      <c r="L54" s="1120"/>
      <c r="M54" s="1097"/>
      <c r="N54" s="1097"/>
      <c r="P54" s="1098"/>
      <c r="Q54" s="1099"/>
      <c r="R54" s="1098"/>
      <c r="S54" s="1104"/>
      <c r="T54" s="1107" t="s">
        <v>340</v>
      </c>
      <c r="U54" s="1106"/>
      <c r="V54" s="1106"/>
      <c r="W54" s="1106"/>
      <c r="X54" s="1106"/>
      <c r="Y54" s="1106"/>
      <c r="Z54" s="1106"/>
      <c r="AA54" s="1106"/>
      <c r="AB54" s="1106"/>
      <c r="AC54" s="1106"/>
      <c r="AD54" s="1106"/>
      <c r="AE54" s="1106"/>
      <c r="AF54" s="1106"/>
      <c r="AG54" s="1106"/>
      <c r="AH54" s="1106"/>
      <c r="AI54" s="1106"/>
      <c r="AJ54" s="1106"/>
      <c r="AK54" s="1106"/>
      <c r="AL54" s="1106"/>
      <c r="AM54" s="1106"/>
      <c r="AO54" s="598"/>
      <c r="AP54" s="598" t="str">
        <f t="shared" si="1"/>
        <v>Добавить источник для дифференциации</v>
      </c>
      <c r="AQ54" s="598"/>
      <c r="AR54" s="598"/>
    </row>
    <row r="55" spans="1:44" s="1686" customFormat="1" ht="0.75" customHeight="1">
      <c r="A55" s="1124" t="s">
        <v>118</v>
      </c>
      <c r="B55" s="1124" t="s">
        <v>119</v>
      </c>
      <c r="C55" s="1096"/>
      <c r="D55" s="1096"/>
      <c r="E55" s="2112"/>
      <c r="F55" s="2111"/>
      <c r="G55" s="1096"/>
      <c r="H55" s="1096"/>
      <c r="I55" s="1096"/>
      <c r="J55" s="1096"/>
      <c r="K55" s="1096"/>
      <c r="L55" s="1120"/>
      <c r="M55" s="1103"/>
      <c r="N55" s="1103"/>
      <c r="P55" s="1098"/>
      <c r="Q55" s="1099"/>
      <c r="R55" s="1098"/>
      <c r="S55" s="1104"/>
      <c r="T55" s="1107" t="s">
        <v>341</v>
      </c>
      <c r="U55" s="1106"/>
      <c r="V55" s="1106"/>
      <c r="W55" s="1106"/>
      <c r="X55" s="1106"/>
      <c r="Y55" s="1106"/>
      <c r="Z55" s="1106"/>
      <c r="AA55" s="1106"/>
      <c r="AB55" s="1106"/>
      <c r="AC55" s="1106"/>
      <c r="AD55" s="1106"/>
      <c r="AE55" s="1106"/>
      <c r="AF55" s="1106"/>
      <c r="AG55" s="1106"/>
      <c r="AH55" s="1106"/>
      <c r="AI55" s="1106"/>
      <c r="AJ55" s="1106"/>
      <c r="AK55" s="1106"/>
      <c r="AL55" s="1106"/>
      <c r="AM55" s="1106"/>
      <c r="AO55" s="598"/>
      <c r="AP55" s="598" t="str">
        <f t="shared" si="1"/>
        <v>Добавить централизованную систему для дифференциации</v>
      </c>
      <c r="AQ55" s="598"/>
      <c r="AR55" s="598"/>
    </row>
    <row r="56" spans="1:44" s="1622" customFormat="1" ht="0.75" customHeight="1">
      <c r="A56" s="1124" t="s">
        <v>118</v>
      </c>
      <c r="B56" s="1124"/>
      <c r="C56" s="1124"/>
      <c r="D56" s="1124"/>
      <c r="E56" s="2111"/>
      <c r="F56" s="1124"/>
      <c r="G56" s="1124"/>
      <c r="H56" s="1124"/>
      <c r="I56" s="1124"/>
      <c r="J56" s="1124"/>
      <c r="K56" s="1124"/>
      <c r="L56" s="1127"/>
      <c r="M56" s="1103"/>
      <c r="N56" s="1103"/>
      <c r="O56" s="386"/>
      <c r="P56" s="269"/>
      <c r="Q56" s="1125"/>
      <c r="R56" s="269"/>
      <c r="S56" s="1104"/>
      <c r="T56" s="1107" t="s">
        <v>342</v>
      </c>
      <c r="U56" s="1106"/>
      <c r="V56" s="1106"/>
      <c r="W56" s="1106"/>
      <c r="X56" s="1106"/>
      <c r="Y56" s="1106"/>
      <c r="Z56" s="1106"/>
      <c r="AA56" s="1106"/>
      <c r="AB56" s="1106"/>
      <c r="AC56" s="1106"/>
      <c r="AD56" s="1106"/>
      <c r="AE56" s="1106"/>
      <c r="AF56" s="1106"/>
      <c r="AG56" s="1106"/>
      <c r="AH56" s="1106"/>
      <c r="AI56" s="1106"/>
      <c r="AJ56" s="1106"/>
      <c r="AK56" s="1106"/>
      <c r="AL56" s="1106"/>
      <c r="AM56" s="1106"/>
      <c r="AO56" s="368"/>
      <c r="AP56" s="368" t="str">
        <f t="shared" si="1"/>
        <v>Добавить территорию для дифференциации</v>
      </c>
      <c r="AQ56" s="368"/>
      <c r="AR56" s="368"/>
    </row>
    <row r="57" spans="1:44" s="1686" customFormat="1" ht="0.75" customHeight="1">
      <c r="A57" s="1096"/>
      <c r="B57" s="1096"/>
      <c r="C57" s="1096"/>
      <c r="D57" s="1096"/>
      <c r="E57" s="1124"/>
      <c r="F57" s="1096"/>
      <c r="G57" s="1096"/>
      <c r="H57" s="1096"/>
      <c r="I57" s="1096"/>
      <c r="J57" s="1096"/>
      <c r="K57" s="1096"/>
      <c r="L57" s="1120"/>
      <c r="M57" s="1103"/>
      <c r="N57" s="1103"/>
      <c r="P57" s="1098"/>
      <c r="Q57" s="1099"/>
      <c r="R57" s="1098"/>
      <c r="S57" s="1104"/>
      <c r="T57" s="1107" t="s">
        <v>374</v>
      </c>
      <c r="U57" s="1106"/>
      <c r="V57" s="1106"/>
      <c r="W57" s="1106"/>
      <c r="X57" s="1106"/>
      <c r="Y57" s="1106"/>
      <c r="Z57" s="1106"/>
      <c r="AA57" s="1106"/>
      <c r="AB57" s="1106"/>
      <c r="AC57" s="1106"/>
      <c r="AD57" s="1106"/>
      <c r="AE57" s="1106"/>
      <c r="AF57" s="1106"/>
      <c r="AG57" s="1106"/>
      <c r="AH57" s="1106"/>
      <c r="AI57" s="1106"/>
      <c r="AJ57" s="1106"/>
      <c r="AK57" s="1106"/>
      <c r="AL57" s="1106"/>
      <c r="AM57" s="1106"/>
      <c r="AO57" s="598"/>
      <c r="AP57" s="598" t="str">
        <f t="shared" si="1"/>
        <v>Добавить наименование тарифа</v>
      </c>
      <c r="AQ57" s="598"/>
      <c r="AR57" s="598"/>
    </row>
    <row r="58" spans="1:44" ht="11.25" customHeight="1">
      <c r="M58" s="929"/>
      <c r="N58" s="929"/>
      <c r="O58" s="395"/>
      <c r="P58" s="924"/>
      <c r="Q58" s="924"/>
      <c r="R58" s="924"/>
      <c r="S58" s="924"/>
      <c r="AN58" s="924"/>
      <c r="AO58" s="924"/>
      <c r="AP58" s="924"/>
      <c r="AQ58" s="924"/>
      <c r="AR58" s="924"/>
    </row>
    <row r="59" spans="1:44" ht="21.75" customHeight="1">
      <c r="O59" s="395"/>
      <c r="S59" s="1031"/>
      <c r="T59" s="2110"/>
      <c r="U59" s="2110"/>
      <c r="V59" s="2110"/>
      <c r="W59" s="2110"/>
      <c r="X59" s="2110"/>
      <c r="Y59" s="2110"/>
      <c r="Z59" s="2110"/>
      <c r="AA59" s="2110"/>
      <c r="AB59" s="2110"/>
      <c r="AC59" s="2110"/>
      <c r="AD59" s="2110"/>
      <c r="AE59" s="2110"/>
      <c r="AF59" s="2110"/>
      <c r="AG59" s="2110"/>
      <c r="AH59" s="2110"/>
      <c r="AI59" s="2110"/>
      <c r="AJ59" s="2110"/>
      <c r="AK59" s="2110"/>
      <c r="AL59" s="2110"/>
      <c r="AM59" s="2110"/>
    </row>
    <row r="60" spans="1:44" ht="29.25" customHeight="1">
      <c r="O60" s="395"/>
      <c r="T60" s="2110"/>
      <c r="U60" s="2110"/>
      <c r="V60" s="2110"/>
      <c r="W60" s="2110"/>
      <c r="X60" s="2110"/>
      <c r="Y60" s="2110"/>
      <c r="Z60" s="2110"/>
      <c r="AA60" s="2110"/>
      <c r="AB60" s="2110"/>
      <c r="AC60" s="2110"/>
      <c r="AD60" s="2110"/>
      <c r="AE60" s="2110"/>
      <c r="AF60" s="2110"/>
      <c r="AG60" s="2110"/>
      <c r="AH60" s="2110"/>
      <c r="AI60" s="2110"/>
      <c r="AJ60" s="2110"/>
      <c r="AK60" s="2110"/>
      <c r="AL60" s="2110"/>
      <c r="AM60" s="2110"/>
    </row>
    <row r="61" spans="1:44" ht="39.75" customHeight="1">
      <c r="O61" s="395"/>
      <c r="T61" s="2110"/>
      <c r="U61" s="2110"/>
      <c r="V61" s="2110"/>
      <c r="W61" s="2110"/>
      <c r="X61" s="2110"/>
      <c r="Y61" s="2110"/>
      <c r="Z61" s="2110"/>
      <c r="AA61" s="2110"/>
      <c r="AB61" s="2110"/>
      <c r="AC61" s="2110"/>
      <c r="AD61" s="2110"/>
      <c r="AE61" s="2110"/>
      <c r="AF61" s="2110"/>
      <c r="AG61" s="2110"/>
      <c r="AH61" s="2110"/>
      <c r="AI61" s="2110"/>
      <c r="AJ61" s="2110"/>
      <c r="AK61" s="2110"/>
      <c r="AL61" s="2110"/>
      <c r="AM61" s="2110"/>
    </row>
    <row r="62" spans="1:44" ht="14.25" customHeight="1">
      <c r="O62" s="395"/>
    </row>
    <row r="63" spans="1:44" ht="19.5" customHeight="1">
      <c r="O63" s="395"/>
      <c r="S63" s="1031"/>
      <c r="T63" s="2018"/>
      <c r="U63" s="2110"/>
      <c r="V63" s="2110"/>
      <c r="W63" s="2110"/>
      <c r="X63" s="2110"/>
      <c r="Y63" s="2110"/>
      <c r="Z63" s="2110"/>
      <c r="AA63" s="2110"/>
      <c r="AB63" s="2110"/>
      <c r="AC63" s="2110"/>
      <c r="AD63" s="2110"/>
      <c r="AE63" s="2110"/>
      <c r="AF63" s="2110"/>
      <c r="AG63" s="2110"/>
      <c r="AH63" s="2110"/>
      <c r="AI63" s="2110"/>
      <c r="AJ63" s="2110"/>
      <c r="AK63" s="2110"/>
      <c r="AL63" s="2110"/>
      <c r="AM63" s="2110"/>
    </row>
    <row r="64" spans="1:44" ht="27.75" customHeight="1">
      <c r="O64" s="395"/>
      <c r="T64" s="2110"/>
      <c r="U64" s="2110"/>
      <c r="V64" s="2110"/>
      <c r="W64" s="2110"/>
      <c r="X64" s="2110"/>
      <c r="Y64" s="2110"/>
      <c r="Z64" s="2110"/>
      <c r="AA64" s="2110"/>
      <c r="AB64" s="2110"/>
      <c r="AC64" s="2110"/>
      <c r="AD64" s="2110"/>
      <c r="AE64" s="2110"/>
      <c r="AF64" s="2110"/>
      <c r="AG64" s="2110"/>
      <c r="AH64" s="2110"/>
      <c r="AI64" s="2110"/>
      <c r="AJ64" s="2110"/>
      <c r="AK64" s="2110"/>
      <c r="AL64" s="2110"/>
      <c r="AM64" s="2110"/>
    </row>
    <row r="65" spans="20:39" ht="33.75" customHeight="1">
      <c r="T65" s="2110"/>
      <c r="U65" s="2110"/>
      <c r="V65" s="2110"/>
      <c r="W65" s="2110"/>
      <c r="X65" s="2110"/>
      <c r="Y65" s="2110"/>
      <c r="Z65" s="2110"/>
      <c r="AA65" s="2110"/>
      <c r="AB65" s="2110"/>
      <c r="AC65" s="2110"/>
      <c r="AD65" s="2110"/>
      <c r="AE65" s="2110"/>
      <c r="AF65" s="2110"/>
      <c r="AG65" s="2110"/>
      <c r="AH65" s="2110"/>
      <c r="AI65" s="2110"/>
      <c r="AJ65" s="2110"/>
      <c r="AK65" s="2110"/>
      <c r="AL65" s="2110"/>
      <c r="AM65" s="2110"/>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687" hidden="1"/>
    <col min="2" max="2" width="11" style="1687" hidden="1" customWidth="1"/>
    <col min="3" max="3" width="10.5703125" style="1687" hidden="1"/>
    <col min="4" max="4" width="11.85546875" style="1687" hidden="1" customWidth="1"/>
    <col min="5" max="5" width="10" style="1687" hidden="1" customWidth="1"/>
    <col min="6" max="6" width="8.7109375" style="1687" hidden="1" customWidth="1"/>
    <col min="7" max="7" width="7.5703125" style="1687" hidden="1" customWidth="1"/>
    <col min="8" max="8" width="11.42578125" style="1687" hidden="1" customWidth="1"/>
    <col min="9" max="9" width="12" style="1687" hidden="1" customWidth="1"/>
    <col min="10" max="10" width="9.85546875" style="1687" hidden="1" customWidth="1"/>
    <col min="11" max="11" width="11.42578125" style="1687" hidden="1" customWidth="1"/>
    <col min="12" max="12" width="19.140625" style="1688" hidden="1" customWidth="1"/>
    <col min="13" max="14" width="12.28515625" style="1689" hidden="1" customWidth="1"/>
    <col min="15" max="15" width="23.42578125" style="1689" hidden="1" customWidth="1"/>
    <col min="16" max="16" width="3.7109375" style="1693" hidden="1" customWidth="1"/>
    <col min="17" max="18" width="3.7109375" style="1695" customWidth="1"/>
    <col min="19" max="19" width="12.7109375" style="1696" customWidth="1"/>
    <col min="20" max="20" width="32" style="1661" customWidth="1"/>
    <col min="21" max="21" width="0.140625" style="1661" customWidth="1"/>
    <col min="22" max="22" width="24.7109375" style="1661" hidden="1" customWidth="1"/>
    <col min="23" max="23" width="0.140625" style="1661" hidden="1" customWidth="1"/>
    <col min="24" max="25" width="24.7109375" style="1661" hidden="1" customWidth="1"/>
    <col min="26" max="26" width="11.7109375" style="1661" hidden="1" customWidth="1"/>
    <col min="27" max="27" width="3.7109375" style="1661" hidden="1" customWidth="1"/>
    <col min="28" max="28" width="11.7109375" style="1661" hidden="1" customWidth="1"/>
    <col min="29" max="29" width="8.5703125" style="1661" hidden="1" customWidth="1"/>
    <col min="30" max="30" width="24.7109375" style="1661" customWidth="1"/>
    <col min="31" max="31" width="0.140625" style="1661" customWidth="1"/>
    <col min="32" max="33" width="24.7109375" style="1661" customWidth="1"/>
    <col min="34" max="34" width="11.7109375" style="1661" customWidth="1"/>
    <col min="35" max="35" width="3.7109375" style="1661" customWidth="1"/>
    <col min="36" max="36" width="11.7109375" style="1661" customWidth="1"/>
    <col min="37" max="37" width="8.5703125" style="1661" hidden="1" customWidth="1"/>
    <col min="38" max="38" width="4.7109375" style="1661" customWidth="1"/>
    <col min="39" max="39" width="115.7109375" style="1661" customWidth="1"/>
    <col min="40" max="41" width="10.5703125" style="1622"/>
    <col min="42" max="42" width="11.140625" style="1622" customWidth="1"/>
    <col min="43" max="44" width="10.5703125" style="1622"/>
  </cols>
  <sheetData>
    <row r="1" spans="1:44" ht="14.25" hidden="1" customHeight="1">
      <c r="Y1" s="210"/>
      <c r="Z1" s="210"/>
      <c r="AG1" s="210"/>
      <c r="AH1" s="210"/>
    </row>
    <row r="2" spans="1:44" ht="21" hidden="1" customHeight="1">
      <c r="A2" s="1143"/>
      <c r="B2" s="1143"/>
      <c r="C2" s="1143"/>
      <c r="D2" s="1143"/>
      <c r="E2" s="2111">
        <v>1</v>
      </c>
      <c r="F2" s="1143"/>
      <c r="G2" s="1143"/>
      <c r="H2" s="1143"/>
      <c r="I2" s="1143"/>
      <c r="J2" s="1143"/>
      <c r="K2" s="1143"/>
      <c r="L2" s="1144"/>
      <c r="M2" s="1145"/>
      <c r="N2" s="1145"/>
      <c r="O2" s="1145"/>
      <c r="P2" s="242"/>
      <c r="Q2" s="241"/>
      <c r="R2" s="236"/>
      <c r="S2" s="1117" t="e">
        <f>INDEX(PT_DIFFERENTIATION_NUM_NTAR,MATCH(A2,PT_DIFFERENTIATION_NTAR_ID,0))</f>
        <v>#N/A</v>
      </c>
      <c r="T2" s="173" t="s">
        <v>61</v>
      </c>
      <c r="U2" s="175"/>
      <c r="V2" s="2104"/>
      <c r="W2" s="2105"/>
      <c r="X2" s="2105"/>
      <c r="Y2" s="2105"/>
      <c r="Z2" s="2105"/>
      <c r="AA2" s="2105"/>
      <c r="AB2" s="2105"/>
      <c r="AC2" s="2106"/>
      <c r="AD2" s="2104" t="e">
        <f>INDEX(PT_DIFFERENTIATION_NTAR,MATCH(A2,PT_DIFFERENTIATION_NTAR_ID,0))</f>
        <v>#N/A</v>
      </c>
      <c r="AE2" s="2105"/>
      <c r="AF2" s="2105"/>
      <c r="AG2" s="2105"/>
      <c r="AH2" s="2105"/>
      <c r="AI2" s="2105"/>
      <c r="AJ2" s="2105"/>
      <c r="AK2" s="2105"/>
      <c r="AL2" s="2106"/>
      <c r="AM2" s="1044" t="s">
        <v>322</v>
      </c>
      <c r="AO2" s="368"/>
      <c r="AP2" s="368" t="str">
        <f t="shared" ref="AP2:AP15" si="0">IF(T2="","",T2)</f>
        <v>Наименование тарифа</v>
      </c>
      <c r="AQ2" s="368"/>
      <c r="AR2" s="368"/>
    </row>
    <row r="3" spans="1:44" ht="21" hidden="1" customHeight="1">
      <c r="A3" s="1143"/>
      <c r="B3" s="1143"/>
      <c r="C3" s="1143"/>
      <c r="D3" s="1143"/>
      <c r="E3" s="2112"/>
      <c r="F3" s="2111">
        <v>1</v>
      </c>
      <c r="G3" s="1143"/>
      <c r="H3" s="1143"/>
      <c r="I3" s="1143"/>
      <c r="J3" s="1143"/>
      <c r="K3" s="1143"/>
      <c r="L3" s="1144"/>
      <c r="M3" s="1145"/>
      <c r="N3" s="1145"/>
      <c r="O3" s="1145"/>
      <c r="P3" s="1113"/>
      <c r="Q3" s="233"/>
      <c r="R3" s="234"/>
      <c r="S3" s="1117" t="e">
        <f>INDEX(PT_DIFFERENTIATION_NUM_TER,MATCH(B3,PT_DIFFERENTIATION_TER_ID,0))</f>
        <v>#N/A</v>
      </c>
      <c r="T3" s="185" t="s">
        <v>323</v>
      </c>
      <c r="U3" s="175"/>
      <c r="V3" s="2104"/>
      <c r="W3" s="2105"/>
      <c r="X3" s="2105"/>
      <c r="Y3" s="2105"/>
      <c r="Z3" s="2105"/>
      <c r="AA3" s="2105"/>
      <c r="AB3" s="2105"/>
      <c r="AC3" s="2106"/>
      <c r="AD3" s="2104" t="e">
        <f>INDEX(PT_DIFFERENTIATION_TER,MATCH(B3,PT_DIFFERENTIATION_TER_ID,0))</f>
        <v>#N/A</v>
      </c>
      <c r="AE3" s="2105"/>
      <c r="AF3" s="2105"/>
      <c r="AG3" s="2105"/>
      <c r="AH3" s="2105"/>
      <c r="AI3" s="2105"/>
      <c r="AJ3" s="2105"/>
      <c r="AK3" s="2105"/>
      <c r="AL3" s="2106"/>
      <c r="AM3" s="1044" t="s">
        <v>324</v>
      </c>
      <c r="AO3" s="368"/>
      <c r="AP3" s="368" t="str">
        <f t="shared" si="0"/>
        <v>Территория действия тарифа</v>
      </c>
      <c r="AQ3" s="368"/>
      <c r="AR3" s="368"/>
    </row>
    <row r="4" spans="1:44" ht="23.25" hidden="1" customHeight="1">
      <c r="A4" s="1143"/>
      <c r="B4" s="1143"/>
      <c r="C4" s="1143"/>
      <c r="D4" s="1143"/>
      <c r="E4" s="2112"/>
      <c r="F4" s="2112"/>
      <c r="G4" s="2111">
        <v>1</v>
      </c>
      <c r="H4" s="1143"/>
      <c r="I4" s="1143"/>
      <c r="J4" s="1143"/>
      <c r="K4" s="1143"/>
      <c r="L4" s="1144"/>
      <c r="M4" s="1145"/>
      <c r="N4" s="1145"/>
      <c r="O4" s="1145"/>
      <c r="P4" s="235"/>
      <c r="Q4" s="233"/>
      <c r="R4" s="234"/>
      <c r="S4" s="1117" t="e">
        <f>INDEX(PT_DIFFERENTIATION_NUM_CS,MATCH(C4,PT_DIFFERENTIATION_CS_ID,0))</f>
        <v>#N/A</v>
      </c>
      <c r="T4" s="186" t="s">
        <v>325</v>
      </c>
      <c r="U4" s="175"/>
      <c r="V4" s="2104"/>
      <c r="W4" s="2105"/>
      <c r="X4" s="2105"/>
      <c r="Y4" s="2105"/>
      <c r="Z4" s="2105"/>
      <c r="AA4" s="2105"/>
      <c r="AB4" s="2105"/>
      <c r="AC4" s="2106"/>
      <c r="AD4" s="2104" t="e">
        <f>INDEX(PT_DIFFERENTIATION_CS,MATCH(C4,PT_DIFFERENTIATION_CS_ID,0))</f>
        <v>#N/A</v>
      </c>
      <c r="AE4" s="2105"/>
      <c r="AF4" s="2105"/>
      <c r="AG4" s="2105"/>
      <c r="AH4" s="2105"/>
      <c r="AI4" s="2105"/>
      <c r="AJ4" s="2105"/>
      <c r="AK4" s="2105"/>
      <c r="AL4" s="2106"/>
      <c r="AM4" s="1044" t="s">
        <v>326</v>
      </c>
      <c r="AO4" s="368"/>
      <c r="AP4" s="368" t="str">
        <f t="shared" si="0"/>
        <v xml:space="preserve">Наименование системы теплоснабжения </v>
      </c>
      <c r="AQ4" s="368"/>
      <c r="AR4" s="368"/>
    </row>
    <row r="5" spans="1:44" ht="21" hidden="1" customHeight="1">
      <c r="A5" s="1143"/>
      <c r="B5" s="1143"/>
      <c r="C5" s="1143"/>
      <c r="D5" s="1143"/>
      <c r="E5" s="2112"/>
      <c r="F5" s="2112"/>
      <c r="G5" s="2112"/>
      <c r="H5" s="2111">
        <v>1</v>
      </c>
      <c r="I5" s="1143"/>
      <c r="J5" s="1143"/>
      <c r="K5" s="1143"/>
      <c r="L5" s="1144"/>
      <c r="M5" s="1145"/>
      <c r="N5" s="1145"/>
      <c r="O5" s="1145"/>
      <c r="P5" s="235"/>
      <c r="Q5" s="233"/>
      <c r="R5" s="234"/>
      <c r="S5" s="1117" t="e">
        <f>INDEX(PT_DIFFERENTIATION_NUM_IST_TE,MATCH(D5,PT_DIFFERENTIATION_IST_TE_ID,0))</f>
        <v>#N/A</v>
      </c>
      <c r="T5" s="187" t="s">
        <v>327</v>
      </c>
      <c r="U5" s="175"/>
      <c r="V5" s="2104"/>
      <c r="W5" s="2105"/>
      <c r="X5" s="2105"/>
      <c r="Y5" s="2105"/>
      <c r="Z5" s="2105"/>
      <c r="AA5" s="2105"/>
      <c r="AB5" s="2105"/>
      <c r="AC5" s="2106"/>
      <c r="AD5" s="2104" t="e">
        <f>INDEX(PT_DIFFERENTIATION_IST_TE,MATCH(D5,PT_DIFFERENTIATION_IST_TE_ID,0))</f>
        <v>#N/A</v>
      </c>
      <c r="AE5" s="2105"/>
      <c r="AF5" s="2105"/>
      <c r="AG5" s="2105"/>
      <c r="AH5" s="2105"/>
      <c r="AI5" s="2105"/>
      <c r="AJ5" s="2105"/>
      <c r="AK5" s="2105"/>
      <c r="AL5" s="2106"/>
      <c r="AM5" s="1044" t="s">
        <v>328</v>
      </c>
      <c r="AO5" s="368"/>
      <c r="AP5" s="368" t="str">
        <f t="shared" si="0"/>
        <v xml:space="preserve">Источник тепловой энергии  </v>
      </c>
      <c r="AQ5" s="368"/>
      <c r="AR5" s="368"/>
    </row>
    <row r="6" spans="1:44" ht="14.25" hidden="1" customHeight="1">
      <c r="A6" s="1143"/>
      <c r="B6" s="1143"/>
      <c r="C6" s="1143"/>
      <c r="D6" s="1143"/>
      <c r="E6" s="2112"/>
      <c r="F6" s="2112"/>
      <c r="G6" s="2112"/>
      <c r="H6" s="2112"/>
      <c r="I6" s="2113" t="e">
        <f>S5&amp;".1"</f>
        <v>#N/A</v>
      </c>
      <c r="J6" s="1143"/>
      <c r="K6" s="1143"/>
      <c r="L6" s="1144" t="s">
        <v>329</v>
      </c>
      <c r="M6" s="395"/>
      <c r="P6" s="2115">
        <v>1</v>
      </c>
      <c r="Q6" s="1112"/>
      <c r="R6" s="237"/>
      <c r="S6" s="825"/>
      <c r="T6" s="1163"/>
      <c r="U6" s="1164"/>
      <c r="V6" s="2140"/>
      <c r="W6" s="2141"/>
      <c r="X6" s="2141"/>
      <c r="Y6" s="2141"/>
      <c r="Z6" s="2141"/>
      <c r="AA6" s="2141"/>
      <c r="AB6" s="2141"/>
      <c r="AC6" s="2142"/>
      <c r="AD6" s="2140"/>
      <c r="AE6" s="2141"/>
      <c r="AF6" s="2141"/>
      <c r="AG6" s="2141"/>
      <c r="AH6" s="2141"/>
      <c r="AI6" s="2141"/>
      <c r="AJ6" s="2141"/>
      <c r="AK6" s="2141"/>
      <c r="AL6" s="2142"/>
      <c r="AM6" s="1165"/>
      <c r="AO6" s="368"/>
      <c r="AP6" s="368" t="str">
        <f t="shared" si="0"/>
        <v/>
      </c>
      <c r="AQ6" s="368"/>
      <c r="AR6" s="368"/>
    </row>
    <row r="7" spans="1:44" ht="21" hidden="1" customHeight="1">
      <c r="A7" s="1143"/>
      <c r="B7" s="1143"/>
      <c r="C7" s="1143"/>
      <c r="D7" s="1143"/>
      <c r="E7" s="2112"/>
      <c r="F7" s="2112"/>
      <c r="G7" s="2112"/>
      <c r="H7" s="2112"/>
      <c r="I7" s="2114"/>
      <c r="J7" s="2113" t="e">
        <f>I6&amp;".1"</f>
        <v>#N/A</v>
      </c>
      <c r="K7" s="1143"/>
      <c r="L7" s="1144" t="s">
        <v>332</v>
      </c>
      <c r="M7" s="395"/>
      <c r="N7" s="1146"/>
      <c r="P7" s="2115"/>
      <c r="Q7" s="2115">
        <v>1</v>
      </c>
      <c r="R7" s="238"/>
      <c r="S7" s="1117" t="e">
        <f>$J7</f>
        <v>#N/A</v>
      </c>
      <c r="T7" s="162" t="s">
        <v>333</v>
      </c>
      <c r="U7" s="175"/>
      <c r="V7" s="2098"/>
      <c r="W7" s="2099"/>
      <c r="X7" s="2099"/>
      <c r="Y7" s="2099"/>
      <c r="Z7" s="2099"/>
      <c r="AA7" s="2099"/>
      <c r="AB7" s="2099"/>
      <c r="AC7" s="2100"/>
      <c r="AD7" s="2098"/>
      <c r="AE7" s="2099"/>
      <c r="AF7" s="2099"/>
      <c r="AG7" s="2099"/>
      <c r="AH7" s="2099"/>
      <c r="AI7" s="2099"/>
      <c r="AJ7" s="2099"/>
      <c r="AK7" s="2099"/>
      <c r="AL7" s="2100"/>
      <c r="AM7" s="1044" t="s">
        <v>334</v>
      </c>
      <c r="AO7" s="368"/>
      <c r="AP7" s="368" t="str">
        <f t="shared" si="0"/>
        <v>Группа потребителей</v>
      </c>
      <c r="AQ7" s="368"/>
      <c r="AR7" s="368"/>
    </row>
    <row r="8" spans="1:44" ht="21" hidden="1" customHeight="1">
      <c r="A8" s="1143"/>
      <c r="B8" s="1143"/>
      <c r="C8" s="1143"/>
      <c r="D8" s="1143"/>
      <c r="E8" s="2112"/>
      <c r="F8" s="2112"/>
      <c r="G8" s="2112"/>
      <c r="H8" s="2112"/>
      <c r="I8" s="2114"/>
      <c r="J8" s="2114"/>
      <c r="K8" s="2113" t="e">
        <f>J7&amp;".1"</f>
        <v>#N/A</v>
      </c>
      <c r="L8" s="1144" t="s">
        <v>335</v>
      </c>
      <c r="M8" s="395"/>
      <c r="N8" s="1146"/>
      <c r="O8" s="1146"/>
      <c r="P8" s="2115"/>
      <c r="Q8" s="2115"/>
      <c r="R8" s="238">
        <v>1</v>
      </c>
      <c r="S8" s="1117" t="e">
        <f>$K8</f>
        <v>#N/A</v>
      </c>
      <c r="T8" s="1128"/>
      <c r="U8" s="175"/>
      <c r="V8" s="576"/>
      <c r="W8" s="207"/>
      <c r="X8" s="576"/>
      <c r="Y8" s="1043"/>
      <c r="Z8" s="2116"/>
      <c r="AA8" s="2109" t="s">
        <v>16</v>
      </c>
      <c r="AB8" s="2116"/>
      <c r="AC8" s="2109" t="s">
        <v>16</v>
      </c>
      <c r="AD8" s="576"/>
      <c r="AE8" s="207"/>
      <c r="AF8" s="576"/>
      <c r="AG8" s="1043"/>
      <c r="AH8" s="2116"/>
      <c r="AI8" s="2109" t="s">
        <v>16</v>
      </c>
      <c r="AJ8" s="2116"/>
      <c r="AK8" s="2109" t="s">
        <v>16</v>
      </c>
      <c r="AL8" s="207"/>
      <c r="AM8" s="2134" t="s">
        <v>336</v>
      </c>
      <c r="AN8" s="379" t="e">
        <f ca="1">STRCHECKDATE(V9:AL9)</f>
        <v>#NAME?</v>
      </c>
      <c r="AO8" s="368"/>
      <c r="AP8" s="368" t="str">
        <f t="shared" si="0"/>
        <v/>
      </c>
      <c r="AQ8" s="368"/>
      <c r="AR8" s="368"/>
    </row>
    <row r="9" spans="1:44" ht="14.25" hidden="1" customHeight="1">
      <c r="A9" s="1143"/>
      <c r="B9" s="1143"/>
      <c r="C9" s="1143"/>
      <c r="D9" s="1143"/>
      <c r="E9" s="2112"/>
      <c r="F9" s="2112"/>
      <c r="G9" s="2112"/>
      <c r="H9" s="2112"/>
      <c r="I9" s="2114"/>
      <c r="J9" s="2114"/>
      <c r="K9" s="2113"/>
      <c r="L9" s="1144"/>
      <c r="M9" s="395"/>
      <c r="N9" s="1146"/>
      <c r="O9" s="1146"/>
      <c r="P9" s="2115"/>
      <c r="Q9" s="2115"/>
      <c r="R9" s="238"/>
      <c r="S9" s="1123"/>
      <c r="T9" s="175"/>
      <c r="U9" s="175"/>
      <c r="V9" s="207"/>
      <c r="W9" s="207"/>
      <c r="X9" s="207"/>
      <c r="Y9" s="211" t="str">
        <f>Z8&amp;"-"&amp;AB8</f>
        <v>-</v>
      </c>
      <c r="Z9" s="2117"/>
      <c r="AA9" s="2109"/>
      <c r="AB9" s="2117"/>
      <c r="AC9" s="2109"/>
      <c r="AD9" s="207"/>
      <c r="AE9" s="207"/>
      <c r="AF9" s="207"/>
      <c r="AG9" s="211" t="str">
        <f>AH8&amp;"-"&amp;AJ8</f>
        <v>-</v>
      </c>
      <c r="AH9" s="2117"/>
      <c r="AI9" s="2109"/>
      <c r="AJ9" s="2117"/>
      <c r="AK9" s="2109"/>
      <c r="AL9" s="207"/>
      <c r="AM9" s="2135"/>
      <c r="AO9" s="368"/>
      <c r="AP9" s="368" t="str">
        <f t="shared" si="0"/>
        <v/>
      </c>
      <c r="AQ9" s="368"/>
      <c r="AR9" s="368"/>
    </row>
    <row r="10" spans="1:44" ht="15" hidden="1" customHeight="1">
      <c r="A10" s="1143"/>
      <c r="B10" s="1143"/>
      <c r="C10" s="1143"/>
      <c r="D10" s="1143"/>
      <c r="E10" s="2112"/>
      <c r="F10" s="2112"/>
      <c r="G10" s="2112"/>
      <c r="H10" s="2112"/>
      <c r="I10" s="2114"/>
      <c r="J10" s="2113"/>
      <c r="K10" s="1143"/>
      <c r="L10" s="1144"/>
      <c r="M10" s="395"/>
      <c r="N10" s="1146"/>
      <c r="P10" s="2115"/>
      <c r="Q10" s="2115"/>
      <c r="R10" s="237"/>
      <c r="S10" s="1062"/>
      <c r="T10" s="163" t="s">
        <v>337</v>
      </c>
      <c r="U10" s="251"/>
      <c r="V10" s="251"/>
      <c r="W10" s="251"/>
      <c r="X10" s="251"/>
      <c r="Y10" s="251"/>
      <c r="Z10" s="251"/>
      <c r="AA10" s="251"/>
      <c r="AB10" s="251"/>
      <c r="AC10" s="251"/>
      <c r="AD10" s="251"/>
      <c r="AE10" s="251"/>
      <c r="AF10" s="251"/>
      <c r="AG10" s="251"/>
      <c r="AH10" s="251"/>
      <c r="AI10" s="251"/>
      <c r="AJ10" s="251"/>
      <c r="AK10" s="251"/>
      <c r="AL10" s="206"/>
      <c r="AM10" s="2136"/>
      <c r="AO10" s="368"/>
      <c r="AP10" s="368" t="str">
        <f t="shared" si="0"/>
        <v>Добавить вид теплоносителя (параметры теплоносителя)</v>
      </c>
      <c r="AQ10" s="368"/>
      <c r="AR10" s="368"/>
    </row>
    <row r="11" spans="1:44" ht="11.25" hidden="1" customHeight="1">
      <c r="A11" s="1143"/>
      <c r="B11" s="1143"/>
      <c r="C11" s="1143"/>
      <c r="D11" s="1143"/>
      <c r="E11" s="2112"/>
      <c r="F11" s="2112"/>
      <c r="G11" s="2112"/>
      <c r="H11" s="2112"/>
      <c r="I11" s="2113"/>
      <c r="J11" s="1143"/>
      <c r="K11" s="1143"/>
      <c r="L11" s="1144"/>
      <c r="M11" s="395"/>
      <c r="P11" s="2115"/>
      <c r="Q11" s="1112"/>
      <c r="R11" s="237"/>
      <c r="S11" s="1062"/>
      <c r="T11" s="248" t="s">
        <v>338</v>
      </c>
      <c r="U11" s="251"/>
      <c r="V11" s="251"/>
      <c r="W11" s="251"/>
      <c r="X11" s="251"/>
      <c r="Y11" s="251"/>
      <c r="Z11" s="251"/>
      <c r="AA11" s="251"/>
      <c r="AB11" s="251"/>
      <c r="AC11" s="250"/>
      <c r="AD11" s="251"/>
      <c r="AE11" s="251"/>
      <c r="AF11" s="251"/>
      <c r="AG11" s="251"/>
      <c r="AH11" s="251"/>
      <c r="AI11" s="251"/>
      <c r="AJ11" s="251"/>
      <c r="AK11" s="250"/>
      <c r="AL11" s="251"/>
      <c r="AM11" s="178"/>
      <c r="AO11" s="368"/>
      <c r="AP11" s="368" t="str">
        <f t="shared" si="0"/>
        <v>Добавить группу потребителей</v>
      </c>
      <c r="AQ11" s="368"/>
      <c r="AR11" s="368"/>
    </row>
    <row r="12" spans="1:44" ht="14.25" hidden="1" customHeight="1">
      <c r="A12" s="1143"/>
      <c r="B12" s="1143"/>
      <c r="C12" s="1143"/>
      <c r="D12" s="1143"/>
      <c r="E12" s="2112"/>
      <c r="F12" s="2112"/>
      <c r="G12" s="2112"/>
      <c r="H12" s="2111"/>
      <c r="I12" s="1143"/>
      <c r="J12" s="1143"/>
      <c r="K12" s="1143"/>
      <c r="L12" s="1144"/>
      <c r="M12" s="1145"/>
      <c r="N12" s="1145"/>
      <c r="O12" s="395"/>
      <c r="P12" s="241"/>
      <c r="Q12" s="260"/>
      <c r="R12" s="236"/>
      <c r="S12" s="1166"/>
      <c r="T12" s="1167"/>
      <c r="U12" s="1168"/>
      <c r="V12" s="1168"/>
      <c r="W12" s="1168"/>
      <c r="X12" s="1168"/>
      <c r="Y12" s="1168"/>
      <c r="Z12" s="1168"/>
      <c r="AA12" s="1168"/>
      <c r="AB12" s="1168"/>
      <c r="AC12" s="1168"/>
      <c r="AD12" s="1168"/>
      <c r="AE12" s="1168"/>
      <c r="AF12" s="1168"/>
      <c r="AG12" s="1168"/>
      <c r="AH12" s="1168"/>
      <c r="AI12" s="1168"/>
      <c r="AJ12" s="1168"/>
      <c r="AK12" s="1168"/>
      <c r="AL12" s="1168"/>
      <c r="AM12" s="1169"/>
      <c r="AO12" s="368"/>
      <c r="AP12" s="368" t="str">
        <f t="shared" si="0"/>
        <v/>
      </c>
      <c r="AQ12" s="368"/>
      <c r="AR12" s="368"/>
    </row>
    <row r="13" spans="1:44" s="1686" customFormat="1" ht="14.25" hidden="1" customHeight="1">
      <c r="A13" s="1096"/>
      <c r="B13" s="1096"/>
      <c r="C13" s="1096"/>
      <c r="D13" s="1096"/>
      <c r="E13" s="2112"/>
      <c r="F13" s="2112"/>
      <c r="G13" s="2111"/>
      <c r="H13" s="1096"/>
      <c r="I13" s="1096"/>
      <c r="J13" s="1096"/>
      <c r="K13" s="1096"/>
      <c r="L13" s="1120"/>
      <c r="M13" s="1097"/>
      <c r="N13" s="1097"/>
      <c r="P13" s="1098"/>
      <c r="Q13" s="1099"/>
      <c r="R13" s="1098"/>
      <c r="S13" s="1100"/>
      <c r="T13" s="1101" t="s">
        <v>340</v>
      </c>
      <c r="U13" s="1102"/>
      <c r="V13" s="1102"/>
      <c r="W13" s="1102"/>
      <c r="X13" s="1102"/>
      <c r="Y13" s="1102"/>
      <c r="Z13" s="1102"/>
      <c r="AA13" s="1102"/>
      <c r="AB13" s="1102"/>
      <c r="AC13" s="1102"/>
      <c r="AD13" s="1102"/>
      <c r="AE13" s="1102"/>
      <c r="AF13" s="1102"/>
      <c r="AG13" s="1102"/>
      <c r="AH13" s="1102"/>
      <c r="AI13" s="1102"/>
      <c r="AJ13" s="1102"/>
      <c r="AK13" s="1102"/>
      <c r="AL13" s="1102"/>
      <c r="AM13" s="1102"/>
      <c r="AO13" s="598"/>
      <c r="AP13" s="598" t="str">
        <f t="shared" si="0"/>
        <v>Добавить источник для дифференциации</v>
      </c>
      <c r="AQ13" s="598"/>
      <c r="AR13" s="598"/>
    </row>
    <row r="14" spans="1:44" s="1686" customFormat="1" ht="14.25" hidden="1" customHeight="1">
      <c r="A14" s="1096"/>
      <c r="B14" s="1096"/>
      <c r="C14" s="1096"/>
      <c r="D14" s="1096"/>
      <c r="E14" s="2112"/>
      <c r="F14" s="2111"/>
      <c r="G14" s="1096"/>
      <c r="H14" s="1096"/>
      <c r="I14" s="1096"/>
      <c r="J14" s="1096"/>
      <c r="K14" s="1096"/>
      <c r="L14" s="1120"/>
      <c r="M14" s="1103"/>
      <c r="N14" s="1103"/>
      <c r="P14" s="1098"/>
      <c r="Q14" s="1099"/>
      <c r="R14" s="1098"/>
      <c r="S14" s="1104"/>
      <c r="T14" s="1105" t="s">
        <v>341</v>
      </c>
      <c r="U14" s="1106"/>
      <c r="V14" s="1106"/>
      <c r="W14" s="1106"/>
      <c r="X14" s="1106"/>
      <c r="Y14" s="1106"/>
      <c r="Z14" s="1106"/>
      <c r="AA14" s="1106"/>
      <c r="AB14" s="1106"/>
      <c r="AC14" s="1106"/>
      <c r="AD14" s="1106"/>
      <c r="AE14" s="1106"/>
      <c r="AF14" s="1106"/>
      <c r="AG14" s="1106"/>
      <c r="AH14" s="1106"/>
      <c r="AI14" s="1106"/>
      <c r="AJ14" s="1106"/>
      <c r="AK14" s="1106"/>
      <c r="AL14" s="1106"/>
      <c r="AM14" s="1106"/>
      <c r="AO14" s="598"/>
      <c r="AP14" s="598" t="str">
        <f t="shared" si="0"/>
        <v>Добавить централизованную систему для дифференциации</v>
      </c>
      <c r="AQ14" s="598"/>
      <c r="AR14" s="598"/>
    </row>
    <row r="15" spans="1:44" s="1686" customFormat="1" ht="14.25" hidden="1" customHeight="1">
      <c r="A15" s="1096"/>
      <c r="B15" s="1096"/>
      <c r="C15" s="1096"/>
      <c r="D15" s="1096"/>
      <c r="E15" s="2111"/>
      <c r="F15" s="1096"/>
      <c r="G15" s="1096"/>
      <c r="H15" s="1096"/>
      <c r="I15" s="1096"/>
      <c r="J15" s="1096"/>
      <c r="K15" s="1096"/>
      <c r="L15" s="1120"/>
      <c r="M15" s="1103"/>
      <c r="N15" s="1103"/>
      <c r="P15" s="1098"/>
      <c r="Q15" s="1099"/>
      <c r="R15" s="1098"/>
      <c r="S15" s="1104"/>
      <c r="T15" s="1107" t="s">
        <v>342</v>
      </c>
      <c r="U15" s="1106"/>
      <c r="V15" s="1106"/>
      <c r="W15" s="1106"/>
      <c r="X15" s="1106"/>
      <c r="Y15" s="1106"/>
      <c r="Z15" s="1106"/>
      <c r="AA15" s="1106"/>
      <c r="AB15" s="1106"/>
      <c r="AC15" s="1106"/>
      <c r="AD15" s="1106"/>
      <c r="AE15" s="1106"/>
      <c r="AF15" s="1106"/>
      <c r="AG15" s="1106"/>
      <c r="AH15" s="1106"/>
      <c r="AI15" s="1106"/>
      <c r="AJ15" s="1106"/>
      <c r="AK15" s="1106"/>
      <c r="AL15" s="1106"/>
      <c r="AM15" s="1106"/>
      <c r="AO15" s="598"/>
      <c r="AP15" s="598" t="str">
        <f t="shared" si="0"/>
        <v>Добавить территорию для дифференциации</v>
      </c>
      <c r="AQ15" s="598"/>
      <c r="AR15" s="598"/>
    </row>
    <row r="16" spans="1:44" ht="14.25" hidden="1" customHeight="1">
      <c r="AC16" s="210"/>
      <c r="AK16" s="210"/>
    </row>
    <row r="17" spans="1:44" ht="14.25" hidden="1" customHeight="1">
      <c r="AD17" s="1140"/>
      <c r="AE17" s="1140"/>
      <c r="AF17" s="1140"/>
      <c r="AG17" s="1141"/>
      <c r="AH17" s="2108"/>
      <c r="AI17" s="2107" t="s">
        <v>16</v>
      </c>
      <c r="AJ17" s="2108"/>
      <c r="AK17" s="2107" t="s">
        <v>16</v>
      </c>
    </row>
    <row r="18" spans="1:44" ht="14.25" hidden="1" customHeight="1">
      <c r="AD18" s="1140"/>
      <c r="AE18" s="1140"/>
      <c r="AF18" s="1140"/>
      <c r="AG18" s="211" t="str">
        <f>AH17&amp;"-"&amp;AJ17</f>
        <v>-</v>
      </c>
      <c r="AH18" s="2107"/>
      <c r="AI18" s="2107"/>
      <c r="AJ18" s="2107"/>
      <c r="AK18" s="2107"/>
    </row>
    <row r="19" spans="1:44" ht="14.25" hidden="1" customHeight="1">
      <c r="AK19" s="210"/>
    </row>
    <row r="20" spans="1:44" s="1687" customFormat="1" ht="22.5" hidden="1" customHeight="1">
      <c r="L20" s="1110"/>
      <c r="M20" s="1142"/>
      <c r="N20" s="1142"/>
      <c r="O20" s="1147" t="s">
        <v>343</v>
      </c>
      <c r="P20" s="1142"/>
      <c r="Q20" s="1151"/>
      <c r="R20" s="1151"/>
      <c r="S20" s="556"/>
      <c r="Z20" s="1147"/>
      <c r="AB20" s="1147"/>
      <c r="AC20" s="1146"/>
      <c r="AH20" s="1147"/>
      <c r="AJ20" s="1147"/>
      <c r="AK20" s="1146"/>
      <c r="AN20" s="379"/>
      <c r="AO20" s="379"/>
      <c r="AP20" s="379"/>
      <c r="AQ20" s="379"/>
      <c r="AR20" s="379"/>
    </row>
    <row r="21" spans="1:44" s="1687" customFormat="1" ht="14.25" hidden="1" customHeight="1">
      <c r="L21" s="1110"/>
      <c r="M21" s="1142"/>
      <c r="N21" s="1142"/>
      <c r="O21" s="1142"/>
      <c r="P21" s="1142"/>
      <c r="Q21" s="1151"/>
      <c r="R21" s="1151"/>
      <c r="S21" s="556"/>
      <c r="AC21" s="1146"/>
      <c r="AK21" s="1146"/>
      <c r="AN21" s="379"/>
      <c r="AO21" s="379"/>
      <c r="AP21" s="379"/>
      <c r="AQ21" s="379"/>
      <c r="AR21" s="379"/>
    </row>
    <row r="22" spans="1:44" s="1687" customFormat="1" ht="14.25" hidden="1" customHeight="1">
      <c r="L22" s="1110"/>
      <c r="M22" s="1142"/>
      <c r="N22" s="1142"/>
      <c r="O22" s="1144" t="s">
        <v>344</v>
      </c>
      <c r="P22" s="1142"/>
      <c r="Q22" s="1151"/>
      <c r="R22" s="1151"/>
      <c r="S22" s="556"/>
      <c r="T22" s="929" t="s">
        <v>345</v>
      </c>
      <c r="AA22" s="86" t="s">
        <v>346</v>
      </c>
      <c r="AC22" s="86" t="s">
        <v>347</v>
      </c>
      <c r="AD22" s="929" t="s">
        <v>345</v>
      </c>
      <c r="AI22" s="86" t="s">
        <v>348</v>
      </c>
      <c r="AK22" s="86" t="s">
        <v>347</v>
      </c>
      <c r="AN22" s="379"/>
      <c r="AO22" s="379"/>
      <c r="AP22" s="379"/>
      <c r="AQ22" s="379"/>
      <c r="AR22" s="379"/>
    </row>
    <row r="23" spans="1:44" ht="14.25" hidden="1" customHeight="1">
      <c r="O23" s="1144"/>
    </row>
    <row r="24" spans="1:44" ht="14.25" hidden="1" customHeight="1">
      <c r="O24" s="1144"/>
    </row>
    <row r="25" spans="1:44" ht="14.25" customHeight="1">
      <c r="Q25" s="261"/>
      <c r="R25" s="261"/>
      <c r="S25" s="1059"/>
      <c r="T25" s="246"/>
      <c r="U25" s="246"/>
      <c r="V25" s="377"/>
      <c r="W25" s="377"/>
      <c r="X25" s="377"/>
      <c r="Y25" s="377"/>
      <c r="Z25" s="377"/>
      <c r="AA25" s="377"/>
      <c r="AB25" s="377"/>
      <c r="AC25" s="377"/>
      <c r="AD25" s="377"/>
      <c r="AE25" s="377"/>
      <c r="AF25" s="377"/>
      <c r="AG25" s="377"/>
      <c r="AH25" s="377"/>
      <c r="AI25" s="377"/>
      <c r="AJ25" s="377"/>
      <c r="AK25" s="377"/>
    </row>
    <row r="26" spans="1:44" ht="51" customHeight="1">
      <c r="Q26" s="261"/>
      <c r="R26" s="261"/>
      <c r="S26" s="208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88"/>
      <c r="U26" s="2088"/>
      <c r="V26" s="2088"/>
      <c r="W26" s="2088"/>
      <c r="X26" s="2088"/>
      <c r="Y26" s="2088"/>
      <c r="Z26" s="2088"/>
      <c r="AA26" s="2088"/>
      <c r="AB26" s="2088"/>
      <c r="AC26" s="2088"/>
      <c r="AD26" s="2088"/>
      <c r="AE26" s="2088"/>
      <c r="AF26" s="2088"/>
      <c r="AG26" s="2088"/>
      <c r="AH26" s="2088"/>
      <c r="AI26" s="2088"/>
      <c r="AJ26" s="2088"/>
      <c r="AK26" s="1019"/>
    </row>
    <row r="27" spans="1:44" ht="14.25" customHeight="1">
      <c r="Q27" s="261"/>
      <c r="R27" s="261"/>
      <c r="S27" s="2059" t="e">
        <f>IF(org=0,"Не определено",org)</f>
        <v>#REF!</v>
      </c>
      <c r="T27" s="2059"/>
      <c r="U27" s="2059"/>
      <c r="V27" s="2059"/>
      <c r="W27" s="2059"/>
      <c r="X27" s="2059"/>
      <c r="Y27" s="2059"/>
      <c r="Z27" s="2059"/>
      <c r="AA27" s="2059"/>
      <c r="AB27" s="2059"/>
      <c r="AC27" s="2059"/>
      <c r="AD27" s="2059"/>
      <c r="AE27" s="2059"/>
      <c r="AF27" s="2059"/>
      <c r="AG27" s="2059"/>
      <c r="AH27" s="2059"/>
      <c r="AI27" s="2059"/>
      <c r="AJ27" s="2059"/>
      <c r="AK27" s="1019"/>
    </row>
    <row r="28" spans="1:44" ht="14.25" hidden="1" customHeight="1">
      <c r="Q28" s="261"/>
      <c r="R28" s="261"/>
      <c r="S28" s="1059"/>
      <c r="T28" s="246"/>
      <c r="U28" s="246"/>
      <c r="V28" s="203"/>
      <c r="W28" s="203"/>
      <c r="X28" s="203"/>
      <c r="Y28" s="203"/>
      <c r="Z28" s="203"/>
      <c r="AA28" s="203"/>
      <c r="AB28" s="203"/>
      <c r="AC28" s="203"/>
      <c r="AD28" s="203"/>
      <c r="AE28" s="203"/>
      <c r="AF28" s="203"/>
      <c r="AG28" s="203"/>
      <c r="AH28" s="203"/>
      <c r="AI28" s="203"/>
      <c r="AJ28" s="203"/>
      <c r="AK28" s="203"/>
      <c r="AL28" s="377"/>
    </row>
    <row r="29" spans="1:44" s="1692" customFormat="1" ht="25.5" hidden="1" customHeight="1">
      <c r="A29" s="1148"/>
      <c r="B29" s="1148"/>
      <c r="C29" s="1148"/>
      <c r="D29" s="1148"/>
      <c r="E29" s="1148"/>
      <c r="F29" s="1148"/>
      <c r="G29" s="1148"/>
      <c r="H29" s="1148"/>
      <c r="I29" s="1148"/>
      <c r="J29" s="1148"/>
      <c r="K29" s="1148"/>
      <c r="L29" s="1149"/>
      <c r="M29" s="1148"/>
      <c r="N29" s="1148"/>
      <c r="O29" s="1148"/>
      <c r="S29" s="2101" t="s">
        <v>6</v>
      </c>
      <c r="T29" s="2101"/>
      <c r="U29" s="1152"/>
      <c r="V29" s="2103" t="e">
        <f>IF(TITLE_NAME_OR_PR_CHANGE="",IF(TITLE_NAME_OR_PR="","",TITLE_NAME_OR_PR),TITLE_NAME_OR_PR_CHANGE)</f>
        <v>#REF!</v>
      </c>
      <c r="W29" s="2103"/>
      <c r="X29" s="2103"/>
      <c r="Y29" s="2103"/>
      <c r="Z29" s="2103"/>
      <c r="AA29" s="2103"/>
      <c r="AB29" s="2103"/>
      <c r="AC29" s="209"/>
      <c r="AD29" s="2103" t="e">
        <f>IF(TITLE_NAME_OR_PR_CHANGE="",IF(TITLE_NAME_OR_PR="","",TITLE_NAME_OR_PR),TITLE_NAME_OR_PR_CHANGE)</f>
        <v>#REF!</v>
      </c>
      <c r="AE29" s="2103"/>
      <c r="AF29" s="2103"/>
      <c r="AG29" s="2103"/>
      <c r="AH29" s="2103"/>
      <c r="AI29" s="2103"/>
      <c r="AJ29" s="2103"/>
      <c r="AK29" s="209"/>
      <c r="AL29" s="209"/>
      <c r="AM29" s="157"/>
      <c r="AN29" s="252"/>
      <c r="AO29" s="252"/>
      <c r="AP29" s="252"/>
      <c r="AQ29" s="252"/>
      <c r="AR29" s="252"/>
    </row>
    <row r="30" spans="1:44" s="1692" customFormat="1" ht="18.75" hidden="1" customHeight="1">
      <c r="A30" s="1148"/>
      <c r="B30" s="1148"/>
      <c r="C30" s="1148"/>
      <c r="D30" s="1148"/>
      <c r="E30" s="1148"/>
      <c r="F30" s="1148"/>
      <c r="G30" s="1148"/>
      <c r="H30" s="1148"/>
      <c r="I30" s="1148"/>
      <c r="J30" s="1148"/>
      <c r="K30" s="1148"/>
      <c r="L30" s="1149"/>
      <c r="M30" s="1148"/>
      <c r="N30" s="1148"/>
      <c r="O30" s="1148"/>
      <c r="S30" s="2101" t="s">
        <v>349</v>
      </c>
      <c r="T30" s="2101"/>
      <c r="U30" s="1152"/>
      <c r="V30" s="2102" t="e">
        <f>IF(TITLE_DATE_PR_CHANGE="",IF(TITLE_DATE_PR="","",TITLE_DATE_PR),TITLE_DATE_PR_CHANGE)</f>
        <v>#REF!</v>
      </c>
      <c r="W30" s="2102"/>
      <c r="X30" s="2102"/>
      <c r="Y30" s="2102"/>
      <c r="Z30" s="2102"/>
      <c r="AA30" s="2102"/>
      <c r="AB30" s="2102"/>
      <c r="AC30" s="209"/>
      <c r="AD30" s="2102" t="e">
        <f>IF(TITLE_DATE_PR_CHANGE="",IF(TITLE_DATE_PR="","",TITLE_DATE_PR),TITLE_DATE_PR_CHANGE)</f>
        <v>#REF!</v>
      </c>
      <c r="AE30" s="2102"/>
      <c r="AF30" s="2102"/>
      <c r="AG30" s="2102"/>
      <c r="AH30" s="2102"/>
      <c r="AI30" s="2102"/>
      <c r="AJ30" s="2102"/>
      <c r="AK30" s="209"/>
      <c r="AL30" s="209"/>
      <c r="AM30" s="157"/>
      <c r="AN30" s="252"/>
      <c r="AO30" s="252"/>
      <c r="AP30" s="252"/>
      <c r="AQ30" s="252"/>
      <c r="AR30" s="252"/>
    </row>
    <row r="31" spans="1:44" s="1692" customFormat="1" ht="18.75" hidden="1" customHeight="1">
      <c r="A31" s="1148"/>
      <c r="B31" s="1148"/>
      <c r="C31" s="1148"/>
      <c r="D31" s="1148"/>
      <c r="E31" s="1148"/>
      <c r="F31" s="1148"/>
      <c r="G31" s="1148"/>
      <c r="H31" s="1148"/>
      <c r="I31" s="1148"/>
      <c r="J31" s="1148"/>
      <c r="K31" s="1148"/>
      <c r="L31" s="1149"/>
      <c r="M31" s="1148"/>
      <c r="N31" s="1148"/>
      <c r="O31" s="1148"/>
      <c r="S31" s="2101" t="s">
        <v>350</v>
      </c>
      <c r="T31" s="2101"/>
      <c r="U31" s="1152"/>
      <c r="V31" s="2103" t="e">
        <f>IF(TITLE_NUMBER_PR_CHANGE="",IF(TITLE_NUMBER_PR="","",TITLE_NUMBER_PR),TITLE_NUMBER_PR_CHANGE)</f>
        <v>#REF!</v>
      </c>
      <c r="W31" s="2103"/>
      <c r="X31" s="2103"/>
      <c r="Y31" s="2103"/>
      <c r="Z31" s="2103"/>
      <c r="AA31" s="2103"/>
      <c r="AB31" s="2103"/>
      <c r="AC31" s="209"/>
      <c r="AD31" s="2103" t="e">
        <f>IF(TITLE_NUMBER_PR_CHANGE="",IF(TITLE_NUMBER_PR="","",TITLE_NUMBER_PR),TITLE_NUMBER_PR_CHANGE)</f>
        <v>#REF!</v>
      </c>
      <c r="AE31" s="2103"/>
      <c r="AF31" s="2103"/>
      <c r="AG31" s="2103"/>
      <c r="AH31" s="2103"/>
      <c r="AI31" s="2103"/>
      <c r="AJ31" s="2103"/>
      <c r="AK31" s="209"/>
      <c r="AL31" s="209"/>
      <c r="AM31" s="157"/>
      <c r="AN31" s="252"/>
      <c r="AO31" s="252"/>
      <c r="AP31" s="252"/>
      <c r="AQ31" s="252"/>
      <c r="AR31" s="252"/>
    </row>
    <row r="32" spans="1:44" s="1692" customFormat="1" ht="18.75" hidden="1" customHeight="1">
      <c r="A32" s="1148"/>
      <c r="B32" s="1148"/>
      <c r="C32" s="1148"/>
      <c r="D32" s="1148"/>
      <c r="E32" s="1148"/>
      <c r="F32" s="1148"/>
      <c r="G32" s="1148"/>
      <c r="H32" s="1148"/>
      <c r="I32" s="1148"/>
      <c r="J32" s="1148"/>
      <c r="K32" s="1148"/>
      <c r="L32" s="1149"/>
      <c r="M32" s="1148"/>
      <c r="N32" s="1148"/>
      <c r="O32" s="1148"/>
      <c r="S32" s="2101" t="s">
        <v>7</v>
      </c>
      <c r="T32" s="2101"/>
      <c r="U32" s="1152"/>
      <c r="V32" s="2103" t="e">
        <f>IF(TITLE_IST_PUB_CHANGE="",IF(TITLE_IST_PUB="","",TITLE_IST_PUB),TITLE_IST_PUB_CHANGE)</f>
        <v>#REF!</v>
      </c>
      <c r="W32" s="2103"/>
      <c r="X32" s="2103"/>
      <c r="Y32" s="2103"/>
      <c r="Z32" s="2103"/>
      <c r="AA32" s="2103"/>
      <c r="AB32" s="2103"/>
      <c r="AC32" s="209"/>
      <c r="AD32" s="2103" t="e">
        <f>IF(TITLE_IST_PUB_CHANGE="",IF(TITLE_IST_PUB="","",TITLE_IST_PUB),TITLE_IST_PUB_CHANGE)</f>
        <v>#REF!</v>
      </c>
      <c r="AE32" s="2103"/>
      <c r="AF32" s="2103"/>
      <c r="AG32" s="2103"/>
      <c r="AH32" s="2103"/>
      <c r="AI32" s="2103"/>
      <c r="AJ32" s="2103"/>
      <c r="AK32" s="209"/>
      <c r="AL32" s="209"/>
      <c r="AM32" s="157"/>
      <c r="AN32" s="252"/>
      <c r="AO32" s="252"/>
      <c r="AP32" s="252"/>
      <c r="AQ32" s="252"/>
      <c r="AR32" s="252"/>
    </row>
    <row r="33" spans="1:44" ht="14.25" hidden="1" customHeight="1">
      <c r="Q33" s="261"/>
      <c r="R33" s="261"/>
      <c r="S33" s="1059"/>
      <c r="T33" s="246"/>
      <c r="U33" s="246"/>
      <c r="V33" s="203"/>
      <c r="W33" s="203"/>
      <c r="X33" s="203"/>
      <c r="Y33" s="203"/>
      <c r="Z33" s="203"/>
      <c r="AA33" s="203"/>
      <c r="AB33" s="203"/>
      <c r="AC33" s="203"/>
      <c r="AD33" s="203"/>
      <c r="AE33" s="203"/>
      <c r="AF33" s="203"/>
      <c r="AG33" s="203"/>
      <c r="AH33" s="203"/>
      <c r="AI33" s="203"/>
      <c r="AJ33" s="203"/>
      <c r="AK33" s="203"/>
      <c r="AL33" s="377"/>
    </row>
    <row r="34" spans="1:44" s="1692" customFormat="1" ht="18.75" hidden="1" customHeight="1">
      <c r="A34" s="1148"/>
      <c r="B34" s="1148"/>
      <c r="C34" s="1148"/>
      <c r="D34" s="1148"/>
      <c r="E34" s="1148"/>
      <c r="F34" s="1148"/>
      <c r="G34" s="1148"/>
      <c r="H34" s="1148"/>
      <c r="I34" s="1148"/>
      <c r="J34" s="1148"/>
      <c r="K34" s="1148"/>
      <c r="L34" s="1149"/>
      <c r="M34" s="1148"/>
      <c r="N34" s="1148"/>
      <c r="O34" s="1148"/>
      <c r="S34" s="2101" t="s">
        <v>351</v>
      </c>
      <c r="T34" s="2101"/>
      <c r="U34" s="1152"/>
      <c r="V34" s="2102" t="e">
        <f>IF(TITLE_DATE_PR_CHANGE="",IF(TITLE_DATE_PR="","",TITLE_DATE_PR),TITLE_DATE_PR_CHANGE)</f>
        <v>#REF!</v>
      </c>
      <c r="W34" s="2102"/>
      <c r="X34" s="2102"/>
      <c r="Y34" s="2102"/>
      <c r="Z34" s="2102"/>
      <c r="AA34" s="2102"/>
      <c r="AB34" s="2102"/>
      <c r="AC34" s="209"/>
      <c r="AD34" s="2102" t="e">
        <f>IF(TITLE_DATE_PR_CHANGE="",IF(TITLE_DATE_PR="","",TITLE_DATE_PR),TITLE_DATE_PR_CHANGE)</f>
        <v>#REF!</v>
      </c>
      <c r="AE34" s="2102"/>
      <c r="AF34" s="2102"/>
      <c r="AG34" s="2102"/>
      <c r="AH34" s="2102"/>
      <c r="AI34" s="2102"/>
      <c r="AJ34" s="2102"/>
      <c r="AK34" s="209"/>
      <c r="AL34" s="209"/>
      <c r="AM34" s="157"/>
      <c r="AN34" s="252"/>
      <c r="AO34" s="252"/>
      <c r="AP34" s="252"/>
      <c r="AQ34" s="252"/>
      <c r="AR34" s="252"/>
    </row>
    <row r="35" spans="1:44" s="1692" customFormat="1" ht="25.5" hidden="1" customHeight="1">
      <c r="A35" s="1148"/>
      <c r="B35" s="1148"/>
      <c r="C35" s="1148"/>
      <c r="D35" s="1148"/>
      <c r="E35" s="1148"/>
      <c r="F35" s="1148"/>
      <c r="G35" s="1148"/>
      <c r="H35" s="1148"/>
      <c r="I35" s="1148"/>
      <c r="J35" s="1148"/>
      <c r="K35" s="1148"/>
      <c r="L35" s="1149"/>
      <c r="M35" s="1148"/>
      <c r="N35" s="1148"/>
      <c r="O35" s="1148"/>
      <c r="S35" s="2101" t="s">
        <v>352</v>
      </c>
      <c r="T35" s="2101"/>
      <c r="U35" s="1152"/>
      <c r="V35" s="2103" t="e">
        <f>IF(TITLE_NUMBER_PR_CHANGE="",IF(TITLE_NUMBER_PR="","",TITLE_NUMBER_PR),TITLE_NUMBER_PR_CHANGE)</f>
        <v>#REF!</v>
      </c>
      <c r="W35" s="2103"/>
      <c r="X35" s="2103"/>
      <c r="Y35" s="2103"/>
      <c r="Z35" s="2103"/>
      <c r="AA35" s="2103"/>
      <c r="AB35" s="2103"/>
      <c r="AC35" s="209"/>
      <c r="AD35" s="2103" t="e">
        <f>IF(TITLE_NUMBER_PR_CHANGE="",IF(TITLE_NUMBER_PR="","",TITLE_NUMBER_PR),TITLE_NUMBER_PR_CHANGE)</f>
        <v>#REF!</v>
      </c>
      <c r="AE35" s="2103"/>
      <c r="AF35" s="2103"/>
      <c r="AG35" s="2103"/>
      <c r="AH35" s="2103"/>
      <c r="AI35" s="2103"/>
      <c r="AJ35" s="2103"/>
      <c r="AK35" s="209"/>
      <c r="AL35" s="209"/>
      <c r="AM35" s="157"/>
      <c r="AN35" s="252"/>
      <c r="AO35" s="252"/>
      <c r="AP35" s="252"/>
      <c r="AQ35" s="252"/>
      <c r="AR35" s="252"/>
    </row>
    <row r="36" spans="1:44" s="1692" customFormat="1" ht="0" hidden="1" customHeight="1">
      <c r="A36" s="1148"/>
      <c r="B36" s="1148"/>
      <c r="C36" s="1148"/>
      <c r="D36" s="1148"/>
      <c r="E36" s="1148"/>
      <c r="F36" s="1148"/>
      <c r="G36" s="1148"/>
      <c r="H36" s="1148"/>
      <c r="I36" s="1148"/>
      <c r="J36" s="1148"/>
      <c r="K36" s="1148"/>
      <c r="L36" s="1149"/>
      <c r="M36" s="1148"/>
      <c r="N36" s="1148"/>
      <c r="O36" s="1148"/>
      <c r="S36" s="205"/>
      <c r="T36" s="205"/>
      <c r="U36" s="1121"/>
      <c r="V36" s="209"/>
      <c r="W36" s="209"/>
      <c r="X36" s="209"/>
      <c r="Y36" s="209"/>
      <c r="Z36" s="209"/>
      <c r="AA36" s="209"/>
      <c r="AB36" s="209"/>
      <c r="AC36" s="155" t="s">
        <v>353</v>
      </c>
      <c r="AD36" s="209"/>
      <c r="AE36" s="209"/>
      <c r="AF36" s="209"/>
      <c r="AG36" s="209"/>
      <c r="AH36" s="209"/>
      <c r="AI36" s="209"/>
      <c r="AJ36" s="209"/>
      <c r="AK36" s="155" t="s">
        <v>353</v>
      </c>
      <c r="AN36" s="252"/>
      <c r="AO36" s="252"/>
      <c r="AP36" s="252"/>
      <c r="AQ36" s="252"/>
      <c r="AR36" s="252"/>
    </row>
    <row r="37" spans="1:44" ht="14.25" customHeight="1">
      <c r="Q37" s="261"/>
      <c r="R37" s="261"/>
      <c r="S37" s="1059"/>
      <c r="T37" s="246"/>
      <c r="U37" s="1020"/>
      <c r="V37" s="2123"/>
      <c r="W37" s="2123"/>
      <c r="X37" s="2123"/>
      <c r="Y37" s="2123"/>
      <c r="Z37" s="2123"/>
      <c r="AA37" s="2123"/>
      <c r="AB37" s="2123"/>
      <c r="AC37" s="2123"/>
      <c r="AD37" s="2123"/>
      <c r="AE37" s="2123"/>
      <c r="AF37" s="2123"/>
      <c r="AG37" s="2123"/>
      <c r="AH37" s="2123"/>
      <c r="AI37" s="2123"/>
      <c r="AJ37" s="2123"/>
      <c r="AK37" s="2123"/>
    </row>
    <row r="38" spans="1:44" ht="14.25" customHeight="1">
      <c r="Q38" s="261"/>
      <c r="R38" s="261"/>
      <c r="S38" s="2025" t="s">
        <v>224</v>
      </c>
      <c r="T38" s="2025"/>
      <c r="U38" s="2025"/>
      <c r="V38" s="2025"/>
      <c r="W38" s="2025"/>
      <c r="X38" s="2025"/>
      <c r="Y38" s="2025"/>
      <c r="Z38" s="2025"/>
      <c r="AA38" s="2025"/>
      <c r="AB38" s="2025"/>
      <c r="AC38" s="2025"/>
      <c r="AD38" s="2025"/>
      <c r="AE38" s="2025"/>
      <c r="AF38" s="2025"/>
      <c r="AG38" s="2025"/>
      <c r="AH38" s="2025"/>
      <c r="AI38" s="2025"/>
      <c r="AJ38" s="2025"/>
      <c r="AK38" s="2025"/>
      <c r="AL38" s="2025"/>
      <c r="AM38" s="2025" t="s">
        <v>225</v>
      </c>
    </row>
    <row r="39" spans="1:44" ht="14.25" customHeight="1">
      <c r="Q39" s="261"/>
      <c r="R39" s="261"/>
      <c r="S39" s="2124" t="s">
        <v>22</v>
      </c>
      <c r="T39" s="2068" t="s">
        <v>354</v>
      </c>
      <c r="U39" s="176"/>
      <c r="V39" s="2125" t="s">
        <v>355</v>
      </c>
      <c r="W39" s="2126"/>
      <c r="X39" s="2126"/>
      <c r="Y39" s="2126"/>
      <c r="Z39" s="2126"/>
      <c r="AA39" s="2126"/>
      <c r="AB39" s="2127"/>
      <c r="AC39" s="2128" t="s">
        <v>356</v>
      </c>
      <c r="AD39" s="2125" t="s">
        <v>355</v>
      </c>
      <c r="AE39" s="2126"/>
      <c r="AF39" s="2126"/>
      <c r="AG39" s="2126"/>
      <c r="AH39" s="2126"/>
      <c r="AI39" s="2126"/>
      <c r="AJ39" s="2127"/>
      <c r="AK39" s="2128" t="s">
        <v>357</v>
      </c>
      <c r="AL39" s="2131" t="s">
        <v>358</v>
      </c>
      <c r="AM39" s="2025"/>
    </row>
    <row r="40" spans="1:44" ht="33.75" customHeight="1">
      <c r="Q40" s="261"/>
      <c r="R40" s="261"/>
      <c r="S40" s="2124"/>
      <c r="T40" s="2068"/>
      <c r="U40" s="814"/>
      <c r="V40" s="2036" t="s">
        <v>359</v>
      </c>
      <c r="W40" s="2120"/>
      <c r="X40" s="1956" t="s">
        <v>361</v>
      </c>
      <c r="Y40" s="1958"/>
      <c r="Z40" s="1956" t="s">
        <v>362</v>
      </c>
      <c r="AA40" s="1957"/>
      <c r="AB40" s="1958"/>
      <c r="AC40" s="2129"/>
      <c r="AD40" s="2036" t="s">
        <v>359</v>
      </c>
      <c r="AE40" s="2120"/>
      <c r="AF40" s="1956" t="s">
        <v>361</v>
      </c>
      <c r="AG40" s="1958"/>
      <c r="AH40" s="1956" t="s">
        <v>362</v>
      </c>
      <c r="AI40" s="1957"/>
      <c r="AJ40" s="1958"/>
      <c r="AK40" s="2129"/>
      <c r="AL40" s="2132"/>
      <c r="AM40" s="2025"/>
    </row>
    <row r="41" spans="1:44" ht="33.75" customHeight="1">
      <c r="A41" s="1150"/>
      <c r="B41" s="1150" t="s">
        <v>73</v>
      </c>
      <c r="C41" s="1150" t="s">
        <v>74</v>
      </c>
      <c r="D41" s="1150" t="s">
        <v>75</v>
      </c>
      <c r="E41" s="1144" t="s">
        <v>363</v>
      </c>
      <c r="F41" s="1144" t="s">
        <v>364</v>
      </c>
      <c r="G41" s="1144" t="s">
        <v>365</v>
      </c>
      <c r="H41" s="1144" t="s">
        <v>366</v>
      </c>
      <c r="I41" s="1144" t="s">
        <v>367</v>
      </c>
      <c r="J41" s="1144" t="s">
        <v>368</v>
      </c>
      <c r="K41" s="1144" t="s">
        <v>369</v>
      </c>
      <c r="L41" s="1144" t="s">
        <v>344</v>
      </c>
      <c r="Q41" s="261"/>
      <c r="R41" s="261"/>
      <c r="S41" s="2124"/>
      <c r="T41" s="2068"/>
      <c r="U41" s="177"/>
      <c r="V41" s="2093"/>
      <c r="W41" s="2121"/>
      <c r="X41" s="995" t="s">
        <v>370</v>
      </c>
      <c r="Y41" s="995" t="s">
        <v>371</v>
      </c>
      <c r="Z41" s="1119" t="s">
        <v>372</v>
      </c>
      <c r="AA41" s="2073" t="s">
        <v>373</v>
      </c>
      <c r="AB41" s="2087"/>
      <c r="AC41" s="2130"/>
      <c r="AD41" s="2093"/>
      <c r="AE41" s="2121"/>
      <c r="AF41" s="995" t="s">
        <v>370</v>
      </c>
      <c r="AG41" s="995" t="s">
        <v>371</v>
      </c>
      <c r="AH41" s="1119" t="s">
        <v>372</v>
      </c>
      <c r="AI41" s="2073" t="s">
        <v>373</v>
      </c>
      <c r="AJ41" s="2087"/>
      <c r="AK41" s="2130"/>
      <c r="AL41" s="2133"/>
      <c r="AM41" s="2025"/>
    </row>
    <row r="42" spans="1:44" s="1621" customFormat="1" ht="11.25" hidden="1" customHeight="1">
      <c r="A42" s="1150"/>
      <c r="B42" s="1150"/>
      <c r="C42" s="1150"/>
      <c r="D42" s="1150"/>
      <c r="E42" s="1150"/>
      <c r="F42" s="1150"/>
      <c r="G42" s="1150"/>
      <c r="H42" s="1150"/>
      <c r="I42" s="1150"/>
      <c r="J42" s="1150"/>
      <c r="K42" s="1150"/>
      <c r="L42" s="1144"/>
      <c r="M42" s="1142"/>
      <c r="N42" s="1142"/>
      <c r="O42" s="1142"/>
      <c r="P42" s="1022"/>
      <c r="Q42" s="1023"/>
      <c r="R42" s="1038">
        <v>1</v>
      </c>
      <c r="S42" s="1061" t="s">
        <v>43</v>
      </c>
      <c r="T42" s="1039" t="s">
        <v>44</v>
      </c>
      <c r="U42" s="1021" t="str">
        <f ca="1">OFFSET(U42,0,-1)</f>
        <v>2</v>
      </c>
      <c r="V42" s="1116">
        <f ca="1">OFFSET(V42,0,-1)+1</f>
        <v>3</v>
      </c>
      <c r="W42" s="1116"/>
      <c r="X42" s="1116">
        <f ca="1">OFFSET(X42,0,-1)+1</f>
        <v>1</v>
      </c>
      <c r="Y42" s="1116">
        <f ca="1">OFFSET(Y42,0,-1)+1</f>
        <v>2</v>
      </c>
      <c r="Z42" s="1116">
        <f ca="1">OFFSET(Z42,0,-1)+1</f>
        <v>3</v>
      </c>
      <c r="AA42" s="2122">
        <f ca="1">OFFSET(AA42,0,-1)+1</f>
        <v>4</v>
      </c>
      <c r="AB42" s="2122"/>
      <c r="AC42" s="1116">
        <f ca="1">OFFSET(AC42,0,-2)+1</f>
        <v>5</v>
      </c>
      <c r="AD42" s="1116">
        <f ca="1">OFFSET(AD42,0,-1)+1</f>
        <v>6</v>
      </c>
      <c r="AE42" s="1116"/>
      <c r="AF42" s="1116">
        <f ca="1">OFFSET(AF42,0,-1)+1</f>
        <v>1</v>
      </c>
      <c r="AG42" s="1116">
        <f ca="1">OFFSET(AG42,0,-1)+1</f>
        <v>2</v>
      </c>
      <c r="AH42" s="1116">
        <f ca="1">OFFSET(AH42,0,-1)+1</f>
        <v>3</v>
      </c>
      <c r="AI42" s="2122">
        <f ca="1">OFFSET(AI42,0,-1)+1</f>
        <v>4</v>
      </c>
      <c r="AJ42" s="2122"/>
      <c r="AK42" s="1116">
        <f ca="1">OFFSET(AK42,0,-2)+1</f>
        <v>5</v>
      </c>
      <c r="AL42" s="1021">
        <f ca="1">OFFSET(AL42,0,-1)</f>
        <v>5</v>
      </c>
      <c r="AM42" s="1116">
        <f ca="1">OFFSET(AM42,0,-1)+1</f>
        <v>6</v>
      </c>
      <c r="AN42" s="379"/>
      <c r="AO42" s="379"/>
      <c r="AP42" s="379"/>
      <c r="AQ42" s="379"/>
      <c r="AR42" s="379"/>
    </row>
    <row r="43" spans="1:44" ht="21" customHeight="1">
      <c r="A43" s="1143" t="s">
        <v>124</v>
      </c>
      <c r="B43" s="1143"/>
      <c r="C43" s="1143"/>
      <c r="D43" s="1143"/>
      <c r="E43" s="2111">
        <v>1</v>
      </c>
      <c r="F43" s="1143"/>
      <c r="G43" s="1143"/>
      <c r="H43" s="1143"/>
      <c r="I43" s="1143"/>
      <c r="J43" s="1143"/>
      <c r="K43" s="1143"/>
      <c r="L43" s="1144"/>
      <c r="M43" s="1145"/>
      <c r="N43" s="1145"/>
      <c r="O43" s="1145"/>
      <c r="P43" s="242"/>
      <c r="Q43" s="241"/>
      <c r="R43" s="236"/>
      <c r="S43" s="1117">
        <f>INDEX(PT_DIFFERENTIATION_NUM_NTAR,MATCH(A43,PT_DIFFERENTIATION_NTAR_ID,0))</f>
        <v>0</v>
      </c>
      <c r="T43" s="173" t="s">
        <v>61</v>
      </c>
      <c r="U43" s="175"/>
      <c r="V43" s="2104"/>
      <c r="W43" s="2105"/>
      <c r="X43" s="2105"/>
      <c r="Y43" s="2105"/>
      <c r="Z43" s="2105"/>
      <c r="AA43" s="2105"/>
      <c r="AB43" s="2105"/>
      <c r="AC43" s="2106"/>
      <c r="AD43" s="2104" t="str">
        <f>INDEX(PT_DIFFERENTIATION_NTAR,MATCH(A43,PT_DIFFERENTIATION_NTAR_ID,0))</f>
        <v/>
      </c>
      <c r="AE43" s="2105"/>
      <c r="AF43" s="2105"/>
      <c r="AG43" s="2105"/>
      <c r="AH43" s="2105"/>
      <c r="AI43" s="2105"/>
      <c r="AJ43" s="2105"/>
      <c r="AK43" s="2105"/>
      <c r="AL43" s="2106"/>
      <c r="AM43" s="104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68"/>
      <c r="AP43" s="368" t="str">
        <f t="shared" ref="AP43:AP57" si="1">IF(T43="","",T43)</f>
        <v>Наименование тарифа</v>
      </c>
      <c r="AQ43" s="368"/>
      <c r="AR43" s="368"/>
    </row>
    <row r="44" spans="1:44" ht="21" customHeight="1">
      <c r="A44" s="1143" t="s">
        <v>124</v>
      </c>
      <c r="B44" s="1143" t="s">
        <v>125</v>
      </c>
      <c r="C44" s="1143"/>
      <c r="D44" s="1143"/>
      <c r="E44" s="2112"/>
      <c r="F44" s="2111">
        <v>1</v>
      </c>
      <c r="G44" s="1143"/>
      <c r="H44" s="1143"/>
      <c r="I44" s="1143"/>
      <c r="J44" s="1143"/>
      <c r="K44" s="1143"/>
      <c r="L44" s="1144"/>
      <c r="M44" s="1145"/>
      <c r="N44" s="1145"/>
      <c r="O44" s="1145"/>
      <c r="P44" s="1113"/>
      <c r="Q44" s="233"/>
      <c r="R44" s="234"/>
      <c r="S44" s="1117" t="str">
        <f>INDEX(PT_DIFFERENTIATION_NUM_TER,MATCH(B44,PT_DIFFERENTIATION_TER_ID,0))</f>
        <v>.</v>
      </c>
      <c r="T44" s="185" t="s">
        <v>323</v>
      </c>
      <c r="U44" s="175"/>
      <c r="V44" s="2104"/>
      <c r="W44" s="2105"/>
      <c r="X44" s="2105"/>
      <c r="Y44" s="2105"/>
      <c r="Z44" s="2105"/>
      <c r="AA44" s="2105"/>
      <c r="AB44" s="2105"/>
      <c r="AC44" s="2106"/>
      <c r="AD44" s="2104" t="str">
        <f>INDEX(PT_DIFFERENTIATION_TER,MATCH(B44,PT_DIFFERENTIATION_TER_ID,0))</f>
        <v/>
      </c>
      <c r="AE44" s="2105"/>
      <c r="AF44" s="2105"/>
      <c r="AG44" s="2105"/>
      <c r="AH44" s="2105"/>
      <c r="AI44" s="2105"/>
      <c r="AJ44" s="2105"/>
      <c r="AK44" s="2105"/>
      <c r="AL44" s="2106"/>
      <c r="AM44" s="1044" t="s">
        <v>324</v>
      </c>
      <c r="AO44" s="368"/>
      <c r="AP44" s="368" t="str">
        <f t="shared" si="1"/>
        <v>Территория действия тарифа</v>
      </c>
      <c r="AQ44" s="368"/>
      <c r="AR44" s="368"/>
    </row>
    <row r="45" spans="1:44" ht="23.25" customHeight="1">
      <c r="A45" s="1143" t="s">
        <v>124</v>
      </c>
      <c r="B45" s="1143" t="s">
        <v>125</v>
      </c>
      <c r="C45" s="1143" t="s">
        <v>126</v>
      </c>
      <c r="D45" s="1143"/>
      <c r="E45" s="2112"/>
      <c r="F45" s="2112"/>
      <c r="G45" s="2111">
        <v>1</v>
      </c>
      <c r="H45" s="1143"/>
      <c r="I45" s="1143"/>
      <c r="J45" s="1143"/>
      <c r="K45" s="1143"/>
      <c r="L45" s="1144"/>
      <c r="M45" s="1145"/>
      <c r="N45" s="1145"/>
      <c r="O45" s="1145"/>
      <c r="P45" s="235"/>
      <c r="Q45" s="233"/>
      <c r="R45" s="234"/>
      <c r="S45" s="1117" t="str">
        <f>INDEX(PT_DIFFERENTIATION_NUM_CS,MATCH(C45,PT_DIFFERENTIATION_CS_ID,0))</f>
        <v>..</v>
      </c>
      <c r="T45" s="186" t="s">
        <v>325</v>
      </c>
      <c r="U45" s="175"/>
      <c r="V45" s="2104"/>
      <c r="W45" s="2105"/>
      <c r="X45" s="2105"/>
      <c r="Y45" s="2105"/>
      <c r="Z45" s="2105"/>
      <c r="AA45" s="2105"/>
      <c r="AB45" s="2105"/>
      <c r="AC45" s="2106"/>
      <c r="AD45" s="2104" t="str">
        <f>INDEX(PT_DIFFERENTIATION_CS,MATCH(C45,PT_DIFFERENTIATION_CS_ID,0))</f>
        <v/>
      </c>
      <c r="AE45" s="2105"/>
      <c r="AF45" s="2105"/>
      <c r="AG45" s="2105"/>
      <c r="AH45" s="2105"/>
      <c r="AI45" s="2105"/>
      <c r="AJ45" s="2105"/>
      <c r="AK45" s="2105"/>
      <c r="AL45" s="2106"/>
      <c r="AM45" s="1044" t="s">
        <v>326</v>
      </c>
      <c r="AO45" s="368"/>
      <c r="AP45" s="368" t="str">
        <f t="shared" si="1"/>
        <v xml:space="preserve">Наименование системы теплоснабжения </v>
      </c>
      <c r="AQ45" s="368"/>
      <c r="AR45" s="368"/>
    </row>
    <row r="46" spans="1:44" ht="21" customHeight="1">
      <c r="A46" s="1143" t="s">
        <v>124</v>
      </c>
      <c r="B46" s="1143" t="s">
        <v>125</v>
      </c>
      <c r="C46" s="1143" t="s">
        <v>126</v>
      </c>
      <c r="D46" s="1143" t="s">
        <v>127</v>
      </c>
      <c r="E46" s="2112"/>
      <c r="F46" s="2112"/>
      <c r="G46" s="2112"/>
      <c r="H46" s="2111">
        <v>1</v>
      </c>
      <c r="I46" s="1143"/>
      <c r="J46" s="1143"/>
      <c r="K46" s="1143"/>
      <c r="L46" s="1144"/>
      <c r="M46" s="1145"/>
      <c r="N46" s="1145"/>
      <c r="O46" s="1145"/>
      <c r="P46" s="235"/>
      <c r="Q46" s="233"/>
      <c r="R46" s="234"/>
      <c r="S46" s="1117" t="str">
        <f>INDEX(PT_DIFFERENTIATION_NUM_IST_TE,MATCH(D46,PT_DIFFERENTIATION_IST_TE_ID,0))</f>
        <v>...</v>
      </c>
      <c r="T46" s="187" t="s">
        <v>327</v>
      </c>
      <c r="U46" s="175"/>
      <c r="V46" s="2104"/>
      <c r="W46" s="2105"/>
      <c r="X46" s="2105"/>
      <c r="Y46" s="2105"/>
      <c r="Z46" s="2105"/>
      <c r="AA46" s="2105"/>
      <c r="AB46" s="2105"/>
      <c r="AC46" s="2106"/>
      <c r="AD46" s="2104" t="str">
        <f>INDEX(PT_DIFFERENTIATION_IST_TE,MATCH(D46,PT_DIFFERENTIATION_IST_TE_ID,0))</f>
        <v/>
      </c>
      <c r="AE46" s="2105"/>
      <c r="AF46" s="2105"/>
      <c r="AG46" s="2105"/>
      <c r="AH46" s="2105"/>
      <c r="AI46" s="2105"/>
      <c r="AJ46" s="2105"/>
      <c r="AK46" s="2105"/>
      <c r="AL46" s="2106"/>
      <c r="AM46" s="1044" t="s">
        <v>328</v>
      </c>
      <c r="AO46" s="368"/>
      <c r="AP46" s="368" t="str">
        <f t="shared" si="1"/>
        <v xml:space="preserve">Источник тепловой энергии  </v>
      </c>
      <c r="AQ46" s="368"/>
      <c r="AR46" s="368"/>
    </row>
    <row r="47" spans="1:44" s="1622" customFormat="1" ht="0" hidden="1" customHeight="1">
      <c r="A47" s="1124" t="s">
        <v>124</v>
      </c>
      <c r="B47" s="1124" t="s">
        <v>125</v>
      </c>
      <c r="C47" s="1124" t="s">
        <v>126</v>
      </c>
      <c r="D47" s="1124" t="s">
        <v>127</v>
      </c>
      <c r="E47" s="2112"/>
      <c r="F47" s="2112"/>
      <c r="G47" s="2112"/>
      <c r="H47" s="2112"/>
      <c r="I47" s="2113" t="str">
        <f>S46&amp;".1"</f>
        <v>....1</v>
      </c>
      <c r="J47" s="1124"/>
      <c r="K47" s="1124"/>
      <c r="L47" s="1127" t="s">
        <v>329</v>
      </c>
      <c r="M47" s="378"/>
      <c r="N47" s="378"/>
      <c r="O47" s="378"/>
      <c r="P47" s="2115">
        <v>1</v>
      </c>
      <c r="Q47" s="1112"/>
      <c r="R47" s="237"/>
      <c r="S47" s="825"/>
      <c r="T47" s="1163"/>
      <c r="U47" s="1164"/>
      <c r="V47" s="2140"/>
      <c r="W47" s="2141"/>
      <c r="X47" s="2141"/>
      <c r="Y47" s="2141"/>
      <c r="Z47" s="2141"/>
      <c r="AA47" s="2141"/>
      <c r="AB47" s="2141"/>
      <c r="AC47" s="2142"/>
      <c r="AD47" s="2140"/>
      <c r="AE47" s="2141"/>
      <c r="AF47" s="2141"/>
      <c r="AG47" s="2141"/>
      <c r="AH47" s="2141"/>
      <c r="AI47" s="2141"/>
      <c r="AJ47" s="2141"/>
      <c r="AK47" s="2141"/>
      <c r="AL47" s="2142"/>
      <c r="AM47" s="1165"/>
      <c r="AO47" s="368"/>
      <c r="AP47" s="368" t="str">
        <f t="shared" si="1"/>
        <v/>
      </c>
      <c r="AQ47" s="368"/>
      <c r="AR47" s="368"/>
    </row>
    <row r="48" spans="1:44" ht="21" customHeight="1">
      <c r="A48" s="1143" t="s">
        <v>124</v>
      </c>
      <c r="B48" s="1143" t="s">
        <v>125</v>
      </c>
      <c r="C48" s="1143" t="s">
        <v>126</v>
      </c>
      <c r="D48" s="1143" t="s">
        <v>127</v>
      </c>
      <c r="E48" s="2112"/>
      <c r="F48" s="2112"/>
      <c r="G48" s="2112"/>
      <c r="H48" s="2112"/>
      <c r="I48" s="2114"/>
      <c r="J48" s="2113" t="str">
        <f>S46&amp;".1"</f>
        <v>....1</v>
      </c>
      <c r="K48" s="1143"/>
      <c r="L48" s="1144" t="s">
        <v>332</v>
      </c>
      <c r="P48" s="2115"/>
      <c r="Q48" s="2115">
        <v>1</v>
      </c>
      <c r="R48" s="238"/>
      <c r="S48" s="1117" t="str">
        <f>$J48</f>
        <v>....1</v>
      </c>
      <c r="T48" s="162" t="s">
        <v>333</v>
      </c>
      <c r="U48" s="175"/>
      <c r="V48" s="2098"/>
      <c r="W48" s="2099"/>
      <c r="X48" s="2099"/>
      <c r="Y48" s="2099"/>
      <c r="Z48" s="2099"/>
      <c r="AA48" s="2099"/>
      <c r="AB48" s="2099"/>
      <c r="AC48" s="2100"/>
      <c r="AD48" s="2098"/>
      <c r="AE48" s="2099"/>
      <c r="AF48" s="2099"/>
      <c r="AG48" s="2099"/>
      <c r="AH48" s="2099"/>
      <c r="AI48" s="2099"/>
      <c r="AJ48" s="2099"/>
      <c r="AK48" s="2099"/>
      <c r="AL48" s="2100"/>
      <c r="AM48" s="1044" t="s">
        <v>334</v>
      </c>
      <c r="AO48" s="368"/>
      <c r="AP48" s="368" t="str">
        <f t="shared" si="1"/>
        <v>Группа потребителей</v>
      </c>
      <c r="AQ48" s="368"/>
      <c r="AR48" s="368"/>
    </row>
    <row r="49" spans="1:44" ht="21" customHeight="1">
      <c r="A49" s="1143" t="s">
        <v>124</v>
      </c>
      <c r="B49" s="1143" t="s">
        <v>125</v>
      </c>
      <c r="C49" s="1143" t="s">
        <v>126</v>
      </c>
      <c r="D49" s="1143" t="s">
        <v>127</v>
      </c>
      <c r="E49" s="2112"/>
      <c r="F49" s="2112"/>
      <c r="G49" s="2112"/>
      <c r="H49" s="2112"/>
      <c r="I49" s="2114"/>
      <c r="J49" s="2114"/>
      <c r="K49" s="2113" t="str">
        <f>J48&amp;".1"</f>
        <v>....1.1</v>
      </c>
      <c r="L49" s="1144" t="s">
        <v>335</v>
      </c>
      <c r="P49" s="2115"/>
      <c r="Q49" s="2115"/>
      <c r="R49" s="238">
        <v>1</v>
      </c>
      <c r="S49" s="1117" t="str">
        <f>$K49</f>
        <v>....1.1</v>
      </c>
      <c r="T49" s="1128"/>
      <c r="U49" s="175"/>
      <c r="V49" s="576"/>
      <c r="W49" s="207"/>
      <c r="X49" s="576"/>
      <c r="Y49" s="1043"/>
      <c r="Z49" s="2116"/>
      <c r="AA49" s="2109" t="s">
        <v>16</v>
      </c>
      <c r="AB49" s="2116"/>
      <c r="AC49" s="2109" t="s">
        <v>16</v>
      </c>
      <c r="AD49" s="576"/>
      <c r="AE49" s="207"/>
      <c r="AF49" s="576"/>
      <c r="AG49" s="1043"/>
      <c r="AH49" s="2116"/>
      <c r="AI49" s="2109" t="s">
        <v>16</v>
      </c>
      <c r="AJ49" s="2118"/>
      <c r="AK49" s="2109" t="s">
        <v>16</v>
      </c>
      <c r="AL49" s="1129"/>
      <c r="AM49" s="2134" t="s">
        <v>376</v>
      </c>
      <c r="AN49" s="379" t="e">
        <f ca="1">STRCHECKDATE(V50:AL50)</f>
        <v>#NAME?</v>
      </c>
      <c r="AO49" s="368"/>
      <c r="AP49" s="368" t="str">
        <f t="shared" si="1"/>
        <v/>
      </c>
      <c r="AQ49" s="368"/>
      <c r="AR49" s="368"/>
    </row>
    <row r="50" spans="1:44" ht="0" hidden="1" customHeight="1">
      <c r="A50" s="1143" t="s">
        <v>124</v>
      </c>
      <c r="B50" s="1143" t="s">
        <v>125</v>
      </c>
      <c r="C50" s="1143" t="s">
        <v>126</v>
      </c>
      <c r="D50" s="1143" t="s">
        <v>127</v>
      </c>
      <c r="E50" s="2112"/>
      <c r="F50" s="2112"/>
      <c r="G50" s="2112"/>
      <c r="H50" s="2112"/>
      <c r="I50" s="2114"/>
      <c r="J50" s="2114"/>
      <c r="K50" s="2113"/>
      <c r="L50" s="1144"/>
      <c r="P50" s="2115"/>
      <c r="Q50" s="2115"/>
      <c r="R50" s="238"/>
      <c r="S50" s="1123"/>
      <c r="T50" s="175"/>
      <c r="U50" s="175"/>
      <c r="V50" s="207"/>
      <c r="W50" s="207"/>
      <c r="X50" s="207"/>
      <c r="Y50" s="211" t="str">
        <f>Z49&amp;"-"&amp;AB49</f>
        <v>-</v>
      </c>
      <c r="Z50" s="2117"/>
      <c r="AA50" s="2109"/>
      <c r="AB50" s="2117"/>
      <c r="AC50" s="2109"/>
      <c r="AD50" s="207"/>
      <c r="AE50" s="207"/>
      <c r="AF50" s="207"/>
      <c r="AG50" s="211" t="str">
        <f>AH49&amp;"-"&amp;AJ49</f>
        <v>-</v>
      </c>
      <c r="AH50" s="2117"/>
      <c r="AI50" s="2109"/>
      <c r="AJ50" s="2119"/>
      <c r="AK50" s="2109"/>
      <c r="AL50" s="1130"/>
      <c r="AM50" s="2135"/>
      <c r="AO50" s="368"/>
      <c r="AP50" s="368" t="str">
        <f t="shared" si="1"/>
        <v/>
      </c>
      <c r="AQ50" s="368"/>
      <c r="AR50" s="368"/>
    </row>
    <row r="51" spans="1:44" ht="11.25" customHeight="1">
      <c r="A51" s="1143" t="s">
        <v>124</v>
      </c>
      <c r="B51" s="1143" t="s">
        <v>125</v>
      </c>
      <c r="C51" s="1143" t="s">
        <v>126</v>
      </c>
      <c r="D51" s="1143" t="s">
        <v>127</v>
      </c>
      <c r="E51" s="2112"/>
      <c r="F51" s="2112"/>
      <c r="G51" s="2112"/>
      <c r="H51" s="2112"/>
      <c r="I51" s="2114"/>
      <c r="J51" s="2113"/>
      <c r="K51" s="1143"/>
      <c r="L51" s="1144"/>
      <c r="P51" s="2115"/>
      <c r="Q51" s="2115"/>
      <c r="R51" s="237"/>
      <c r="S51" s="1062"/>
      <c r="T51" s="163" t="s">
        <v>337</v>
      </c>
      <c r="U51" s="251"/>
      <c r="V51" s="251"/>
      <c r="W51" s="251"/>
      <c r="X51" s="251"/>
      <c r="Y51" s="251"/>
      <c r="Z51" s="251"/>
      <c r="AA51" s="251"/>
      <c r="AB51" s="251"/>
      <c r="AC51" s="251"/>
      <c r="AD51" s="251"/>
      <c r="AE51" s="251"/>
      <c r="AF51" s="251"/>
      <c r="AG51" s="251"/>
      <c r="AH51" s="251"/>
      <c r="AI51" s="251"/>
      <c r="AJ51" s="251"/>
      <c r="AK51" s="251"/>
      <c r="AL51" s="206"/>
      <c r="AM51" s="2136"/>
      <c r="AO51" s="368"/>
      <c r="AP51" s="368" t="str">
        <f t="shared" si="1"/>
        <v>Добавить вид теплоносителя (параметры теплоносителя)</v>
      </c>
      <c r="AQ51" s="368"/>
      <c r="AR51" s="368"/>
    </row>
    <row r="52" spans="1:44" ht="11.25" customHeight="1">
      <c r="A52" s="1143" t="s">
        <v>124</v>
      </c>
      <c r="B52" s="1143" t="s">
        <v>125</v>
      </c>
      <c r="C52" s="1143" t="s">
        <v>126</v>
      </c>
      <c r="D52" s="1143" t="s">
        <v>127</v>
      </c>
      <c r="E52" s="2112"/>
      <c r="F52" s="2112"/>
      <c r="G52" s="2112"/>
      <c r="H52" s="2112"/>
      <c r="I52" s="2113"/>
      <c r="J52" s="1143"/>
      <c r="K52" s="1143"/>
      <c r="L52" s="1144"/>
      <c r="P52" s="2115"/>
      <c r="Q52" s="1112"/>
      <c r="R52" s="237"/>
      <c r="S52" s="1062"/>
      <c r="T52" s="248" t="s">
        <v>338</v>
      </c>
      <c r="U52" s="251"/>
      <c r="V52" s="251"/>
      <c r="W52" s="251"/>
      <c r="X52" s="251"/>
      <c r="Y52" s="251"/>
      <c r="Z52" s="251"/>
      <c r="AA52" s="251"/>
      <c r="AB52" s="251"/>
      <c r="AC52" s="250"/>
      <c r="AD52" s="251"/>
      <c r="AE52" s="251"/>
      <c r="AF52" s="251"/>
      <c r="AG52" s="251"/>
      <c r="AH52" s="251"/>
      <c r="AI52" s="251"/>
      <c r="AJ52" s="251"/>
      <c r="AK52" s="250"/>
      <c r="AL52" s="251"/>
      <c r="AM52" s="178"/>
      <c r="AO52" s="368"/>
      <c r="AP52" s="368" t="str">
        <f t="shared" si="1"/>
        <v>Добавить группу потребителей</v>
      </c>
      <c r="AQ52" s="368"/>
      <c r="AR52" s="368"/>
    </row>
    <row r="53" spans="1:44" ht="0" hidden="1" customHeight="1">
      <c r="A53" s="1143" t="s">
        <v>124</v>
      </c>
      <c r="B53" s="1143" t="s">
        <v>125</v>
      </c>
      <c r="C53" s="1143" t="s">
        <v>126</v>
      </c>
      <c r="D53" s="1143" t="s">
        <v>127</v>
      </c>
      <c r="E53" s="2112"/>
      <c r="F53" s="2112"/>
      <c r="G53" s="2112"/>
      <c r="H53" s="2111"/>
      <c r="I53" s="1143"/>
      <c r="J53" s="1143"/>
      <c r="K53" s="1143"/>
      <c r="L53" s="1144"/>
      <c r="M53" s="1145"/>
      <c r="N53" s="1145"/>
      <c r="O53" s="395"/>
      <c r="P53" s="241"/>
      <c r="Q53" s="260"/>
      <c r="R53" s="236"/>
      <c r="S53" s="1166"/>
      <c r="T53" s="1167"/>
      <c r="U53" s="1168"/>
      <c r="V53" s="1168"/>
      <c r="W53" s="1168"/>
      <c r="X53" s="1168"/>
      <c r="Y53" s="1168"/>
      <c r="Z53" s="1168"/>
      <c r="AA53" s="1168"/>
      <c r="AB53" s="1168"/>
      <c r="AC53" s="1168"/>
      <c r="AD53" s="1168"/>
      <c r="AE53" s="1168"/>
      <c r="AF53" s="1168"/>
      <c r="AG53" s="1168"/>
      <c r="AH53" s="1168"/>
      <c r="AI53" s="1168"/>
      <c r="AJ53" s="1168"/>
      <c r="AK53" s="1168"/>
      <c r="AL53" s="1168"/>
      <c r="AM53" s="1169"/>
      <c r="AO53" s="368"/>
      <c r="AP53" s="368" t="str">
        <f t="shared" si="1"/>
        <v/>
      </c>
      <c r="AQ53" s="368"/>
      <c r="AR53" s="368"/>
    </row>
    <row r="54" spans="1:44" s="1686" customFormat="1" ht="0" hidden="1" customHeight="1">
      <c r="A54" s="1124" t="s">
        <v>124</v>
      </c>
      <c r="B54" s="1124" t="s">
        <v>125</v>
      </c>
      <c r="C54" s="1124" t="s">
        <v>126</v>
      </c>
      <c r="D54" s="1096"/>
      <c r="E54" s="2112"/>
      <c r="F54" s="2112"/>
      <c r="G54" s="2111"/>
      <c r="H54" s="1096"/>
      <c r="I54" s="1096"/>
      <c r="J54" s="1096"/>
      <c r="K54" s="1096"/>
      <c r="L54" s="1120"/>
      <c r="M54" s="1097"/>
      <c r="N54" s="1097"/>
      <c r="P54" s="1098"/>
      <c r="Q54" s="1099"/>
      <c r="R54" s="1098"/>
      <c r="S54" s="1104"/>
      <c r="T54" s="1107" t="s">
        <v>340</v>
      </c>
      <c r="U54" s="1106"/>
      <c r="V54" s="1106"/>
      <c r="W54" s="1106"/>
      <c r="X54" s="1106"/>
      <c r="Y54" s="1106"/>
      <c r="Z54" s="1106"/>
      <c r="AA54" s="1106"/>
      <c r="AB54" s="1106"/>
      <c r="AC54" s="1106"/>
      <c r="AD54" s="1106"/>
      <c r="AE54" s="1106"/>
      <c r="AF54" s="1106"/>
      <c r="AG54" s="1106"/>
      <c r="AH54" s="1106"/>
      <c r="AI54" s="1106"/>
      <c r="AJ54" s="1106"/>
      <c r="AK54" s="1106"/>
      <c r="AL54" s="1106"/>
      <c r="AM54" s="1106"/>
      <c r="AO54" s="598"/>
      <c r="AP54" s="598" t="str">
        <f t="shared" si="1"/>
        <v>Добавить источник для дифференциации</v>
      </c>
      <c r="AQ54" s="598"/>
      <c r="AR54" s="598"/>
    </row>
    <row r="55" spans="1:44" s="1686" customFormat="1" ht="0" hidden="1" customHeight="1">
      <c r="A55" s="1124" t="s">
        <v>124</v>
      </c>
      <c r="B55" s="1124" t="s">
        <v>125</v>
      </c>
      <c r="C55" s="1096"/>
      <c r="D55" s="1096"/>
      <c r="E55" s="2112"/>
      <c r="F55" s="2111"/>
      <c r="G55" s="1096"/>
      <c r="H55" s="1096"/>
      <c r="I55" s="1096"/>
      <c r="J55" s="1096"/>
      <c r="K55" s="1096"/>
      <c r="L55" s="1120"/>
      <c r="M55" s="1103"/>
      <c r="N55" s="1103"/>
      <c r="P55" s="1098"/>
      <c r="Q55" s="1099"/>
      <c r="R55" s="1098"/>
      <c r="S55" s="1104"/>
      <c r="T55" s="1107" t="s">
        <v>341</v>
      </c>
      <c r="U55" s="1106"/>
      <c r="V55" s="1106"/>
      <c r="W55" s="1106"/>
      <c r="X55" s="1106"/>
      <c r="Y55" s="1106"/>
      <c r="Z55" s="1106"/>
      <c r="AA55" s="1106"/>
      <c r="AB55" s="1106"/>
      <c r="AC55" s="1106"/>
      <c r="AD55" s="1106"/>
      <c r="AE55" s="1106"/>
      <c r="AF55" s="1106"/>
      <c r="AG55" s="1106"/>
      <c r="AH55" s="1106"/>
      <c r="AI55" s="1106"/>
      <c r="AJ55" s="1106"/>
      <c r="AK55" s="1106"/>
      <c r="AL55" s="1106"/>
      <c r="AM55" s="1106"/>
      <c r="AO55" s="598"/>
      <c r="AP55" s="598" t="str">
        <f t="shared" si="1"/>
        <v>Добавить централизованную систему для дифференциации</v>
      </c>
      <c r="AQ55" s="598"/>
      <c r="AR55" s="598"/>
    </row>
    <row r="56" spans="1:44" s="1622" customFormat="1" ht="0" hidden="1" customHeight="1">
      <c r="A56" s="1124" t="s">
        <v>124</v>
      </c>
      <c r="B56" s="1124"/>
      <c r="C56" s="1124"/>
      <c r="D56" s="1124"/>
      <c r="E56" s="2111"/>
      <c r="F56" s="1124"/>
      <c r="G56" s="1124"/>
      <c r="H56" s="1124"/>
      <c r="I56" s="1124"/>
      <c r="J56" s="1124"/>
      <c r="K56" s="1124"/>
      <c r="L56" s="1127"/>
      <c r="M56" s="1103"/>
      <c r="N56" s="1103"/>
      <c r="O56" s="386"/>
      <c r="P56" s="269"/>
      <c r="Q56" s="1125"/>
      <c r="R56" s="269"/>
      <c r="S56" s="1104"/>
      <c r="T56" s="1107" t="s">
        <v>342</v>
      </c>
      <c r="U56" s="1106"/>
      <c r="V56" s="1106"/>
      <c r="W56" s="1106"/>
      <c r="X56" s="1106"/>
      <c r="Y56" s="1106"/>
      <c r="Z56" s="1106"/>
      <c r="AA56" s="1106"/>
      <c r="AB56" s="1106"/>
      <c r="AC56" s="1106"/>
      <c r="AD56" s="1106"/>
      <c r="AE56" s="1106"/>
      <c r="AF56" s="1106"/>
      <c r="AG56" s="1106"/>
      <c r="AH56" s="1106"/>
      <c r="AI56" s="1106"/>
      <c r="AJ56" s="1106"/>
      <c r="AK56" s="1106"/>
      <c r="AL56" s="1106"/>
      <c r="AM56" s="1106"/>
      <c r="AO56" s="368"/>
      <c r="AP56" s="368" t="str">
        <f t="shared" si="1"/>
        <v>Добавить территорию для дифференциации</v>
      </c>
      <c r="AQ56" s="368"/>
      <c r="AR56" s="368"/>
    </row>
    <row r="57" spans="1:44" s="1686" customFormat="1" ht="5.25" customHeight="1">
      <c r="A57" s="1096"/>
      <c r="B57" s="1096"/>
      <c r="C57" s="1096"/>
      <c r="D57" s="1096"/>
      <c r="E57" s="1124"/>
      <c r="F57" s="1096"/>
      <c r="G57" s="1096"/>
      <c r="H57" s="1096"/>
      <c r="I57" s="1096"/>
      <c r="J57" s="1096"/>
      <c r="K57" s="1096"/>
      <c r="L57" s="1120"/>
      <c r="M57" s="1103"/>
      <c r="N57" s="1103"/>
      <c r="P57" s="1098"/>
      <c r="Q57" s="1099"/>
      <c r="R57" s="1098"/>
      <c r="S57" s="1104"/>
      <c r="T57" s="1107" t="s">
        <v>374</v>
      </c>
      <c r="U57" s="1106"/>
      <c r="V57" s="1106"/>
      <c r="W57" s="1106"/>
      <c r="X57" s="1106"/>
      <c r="Y57" s="1106"/>
      <c r="Z57" s="1106"/>
      <c r="AA57" s="1106"/>
      <c r="AB57" s="1106"/>
      <c r="AC57" s="1106"/>
      <c r="AD57" s="1106"/>
      <c r="AE57" s="1106"/>
      <c r="AF57" s="1106"/>
      <c r="AG57" s="1106"/>
      <c r="AH57" s="1106"/>
      <c r="AI57" s="1106"/>
      <c r="AJ57" s="1106"/>
      <c r="AK57" s="1106"/>
      <c r="AL57" s="1106"/>
      <c r="AM57" s="1106"/>
      <c r="AO57" s="598"/>
      <c r="AP57" s="598" t="str">
        <f t="shared" si="1"/>
        <v>Добавить наименование тарифа</v>
      </c>
      <c r="AQ57" s="598"/>
      <c r="AR57" s="598"/>
    </row>
    <row r="58" spans="1:44" ht="11.25" customHeight="1">
      <c r="M58" s="929"/>
      <c r="N58" s="929"/>
      <c r="O58" s="395"/>
      <c r="P58" s="924"/>
      <c r="Q58" s="924"/>
      <c r="R58" s="924"/>
      <c r="S58" s="924"/>
      <c r="AN58" s="924"/>
      <c r="AO58" s="924"/>
      <c r="AP58" s="924"/>
      <c r="AQ58" s="924"/>
      <c r="AR58" s="924"/>
    </row>
    <row r="59" spans="1:44" ht="14.25" customHeight="1">
      <c r="O59" s="395"/>
      <c r="S59" s="1031"/>
      <c r="T59" s="2110"/>
      <c r="U59" s="2110"/>
      <c r="V59" s="2110"/>
      <c r="W59" s="2110"/>
      <c r="X59" s="2110"/>
      <c r="Y59" s="2110"/>
      <c r="Z59" s="2110"/>
      <c r="AA59" s="2110"/>
      <c r="AB59" s="2110"/>
      <c r="AC59" s="2110"/>
      <c r="AD59" s="2110"/>
      <c r="AE59" s="2110"/>
      <c r="AF59" s="2110"/>
      <c r="AG59" s="2110"/>
      <c r="AH59" s="2110"/>
      <c r="AI59" s="2110"/>
      <c r="AJ59" s="2110"/>
      <c r="AK59" s="2110"/>
      <c r="AL59" s="2110"/>
      <c r="AM59" s="2110"/>
    </row>
    <row r="60" spans="1:44" ht="14.25" customHeight="1">
      <c r="O60" s="395"/>
      <c r="T60" s="2110"/>
      <c r="U60" s="2110"/>
      <c r="V60" s="2110"/>
      <c r="W60" s="2110"/>
      <c r="X60" s="2110"/>
      <c r="Y60" s="2110"/>
      <c r="Z60" s="2110"/>
      <c r="AA60" s="2110"/>
      <c r="AB60" s="2110"/>
      <c r="AC60" s="2110"/>
      <c r="AD60" s="2110"/>
      <c r="AE60" s="2110"/>
      <c r="AF60" s="2110"/>
      <c r="AG60" s="2110"/>
      <c r="AH60" s="2110"/>
      <c r="AI60" s="2110"/>
      <c r="AJ60" s="2110"/>
      <c r="AK60" s="2110"/>
      <c r="AL60" s="2110"/>
      <c r="AM60" s="2110"/>
    </row>
    <row r="61" spans="1:44" ht="14.25" customHeight="1">
      <c r="O61" s="395"/>
      <c r="T61" s="2110"/>
      <c r="U61" s="2110"/>
      <c r="V61" s="2110"/>
      <c r="W61" s="2110"/>
      <c r="X61" s="2110"/>
      <c r="Y61" s="2110"/>
      <c r="Z61" s="2110"/>
      <c r="AA61" s="2110"/>
      <c r="AB61" s="2110"/>
      <c r="AC61" s="2110"/>
      <c r="AD61" s="2110"/>
      <c r="AE61" s="2110"/>
      <c r="AF61" s="2110"/>
      <c r="AG61" s="2110"/>
      <c r="AH61" s="2110"/>
      <c r="AI61" s="2110"/>
      <c r="AJ61" s="2110"/>
      <c r="AK61" s="2110"/>
      <c r="AL61" s="2110"/>
      <c r="AM61" s="2110"/>
    </row>
    <row r="62" spans="1:44" ht="14.25" customHeight="1">
      <c r="O62" s="395"/>
    </row>
    <row r="63" spans="1:44" ht="14.25" customHeight="1">
      <c r="O63" s="395"/>
      <c r="S63" s="1031"/>
      <c r="T63" s="2018"/>
      <c r="U63" s="2110"/>
      <c r="V63" s="2110"/>
      <c r="W63" s="2110"/>
      <c r="X63" s="2110"/>
      <c r="Y63" s="2110"/>
      <c r="Z63" s="2110"/>
      <c r="AA63" s="2110"/>
      <c r="AB63" s="2110"/>
      <c r="AC63" s="2110"/>
      <c r="AD63" s="2110"/>
      <c r="AE63" s="2110"/>
      <c r="AF63" s="2110"/>
      <c r="AG63" s="2110"/>
      <c r="AH63" s="2110"/>
      <c r="AI63" s="2110"/>
      <c r="AJ63" s="2110"/>
      <c r="AK63" s="2110"/>
      <c r="AL63" s="2110"/>
      <c r="AM63" s="2110"/>
    </row>
    <row r="64" spans="1:44" ht="14.25" customHeight="1">
      <c r="O64" s="395"/>
      <c r="T64" s="2110"/>
      <c r="U64" s="2110"/>
      <c r="V64" s="2110"/>
      <c r="W64" s="2110"/>
      <c r="X64" s="2110"/>
      <c r="Y64" s="2110"/>
      <c r="Z64" s="2110"/>
      <c r="AA64" s="2110"/>
      <c r="AB64" s="2110"/>
      <c r="AC64" s="2110"/>
      <c r="AD64" s="2110"/>
      <c r="AE64" s="2110"/>
      <c r="AF64" s="2110"/>
      <c r="AG64" s="2110"/>
      <c r="AH64" s="2110"/>
      <c r="AI64" s="2110"/>
      <c r="AJ64" s="2110"/>
      <c r="AK64" s="2110"/>
      <c r="AL64" s="2110"/>
      <c r="AM64" s="2110"/>
    </row>
    <row r="65" spans="20:39" ht="14.25" customHeight="1">
      <c r="T65" s="2110"/>
      <c r="U65" s="2110"/>
      <c r="V65" s="2110"/>
      <c r="W65" s="2110"/>
      <c r="X65" s="2110"/>
      <c r="Y65" s="2110"/>
      <c r="Z65" s="2110"/>
      <c r="AA65" s="2110"/>
      <c r="AB65" s="2110"/>
      <c r="AC65" s="2110"/>
      <c r="AD65" s="2110"/>
      <c r="AE65" s="2110"/>
      <c r="AF65" s="2110"/>
      <c r="AG65" s="2110"/>
      <c r="AH65" s="2110"/>
      <c r="AI65" s="2110"/>
      <c r="AJ65" s="2110"/>
      <c r="AK65" s="2110"/>
      <c r="AL65" s="2110"/>
      <c r="AM65" s="2110"/>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661" hidden="1"/>
    <col min="2" max="2" width="11" style="1661" hidden="1" customWidth="1"/>
    <col min="3" max="3" width="10.5703125" style="1661" hidden="1"/>
    <col min="4" max="4" width="11.85546875" style="1661" hidden="1" customWidth="1"/>
    <col min="5" max="5" width="10" style="1661" hidden="1" customWidth="1"/>
    <col min="6" max="6" width="8.7109375" style="1661" hidden="1" customWidth="1"/>
    <col min="7" max="7" width="7.5703125" style="1661" hidden="1" customWidth="1"/>
    <col min="8" max="8" width="11.42578125" style="1661" hidden="1" customWidth="1"/>
    <col min="9" max="9" width="12" style="1661" hidden="1" customWidth="1"/>
    <col min="10" max="10" width="9.85546875" style="1661" hidden="1" customWidth="1"/>
    <col min="11" max="12" width="11.42578125" style="1661" hidden="1" customWidth="1"/>
    <col min="13" max="13" width="19.140625" style="1699" hidden="1" customWidth="1"/>
    <col min="14" max="15" width="12.28515625" style="1693" hidden="1" customWidth="1"/>
    <col min="16" max="16" width="23.42578125" style="1693" hidden="1" customWidth="1"/>
    <col min="17" max="17" width="3.7109375" style="1693" hidden="1" customWidth="1"/>
    <col min="18" max="20" width="3.7109375" style="1695" customWidth="1"/>
    <col min="21" max="21" width="12.7109375" style="1696" customWidth="1"/>
    <col min="22" max="22" width="32" style="1661" customWidth="1"/>
    <col min="23" max="23" width="0.140625" style="1661" customWidth="1"/>
    <col min="24" max="28" width="21.7109375" style="1661" hidden="1" customWidth="1"/>
    <col min="29" max="29" width="11.7109375" style="1661" hidden="1" customWidth="1"/>
    <col min="30" max="30" width="3.7109375" style="1661" hidden="1" customWidth="1"/>
    <col min="31" max="31" width="11.7109375" style="1661" hidden="1" customWidth="1"/>
    <col min="32" max="32" width="8.5703125" style="1661" hidden="1" customWidth="1"/>
    <col min="33" max="37" width="21.7109375" style="1661" customWidth="1"/>
    <col min="38" max="38" width="11.7109375" style="1661" customWidth="1"/>
    <col min="39" max="39" width="3.7109375" style="1661" customWidth="1"/>
    <col min="40" max="40" width="11.7109375" style="1661" customWidth="1"/>
    <col min="41" max="41" width="8.5703125" style="1661" customWidth="1"/>
    <col min="42" max="42" width="4.7109375" style="1661" customWidth="1"/>
    <col min="43" max="43" width="115.7109375" style="1661" customWidth="1"/>
    <col min="44" max="45" width="10.5703125" style="1622"/>
    <col min="46" max="46" width="11.140625" style="1622" customWidth="1"/>
    <col min="47" max="48" width="10.5703125" style="1622"/>
  </cols>
  <sheetData>
    <row r="1" spans="1:48" ht="14.25" hidden="1" customHeight="1">
      <c r="AB1" s="210"/>
      <c r="AC1" s="210"/>
      <c r="AK1" s="210"/>
      <c r="AL1" s="210"/>
    </row>
    <row r="2" spans="1:48" ht="21" hidden="1" customHeight="1">
      <c r="A2" s="1050"/>
      <c r="B2" s="1050"/>
      <c r="C2" s="1050"/>
      <c r="D2" s="1050"/>
      <c r="E2" s="2146">
        <v>1</v>
      </c>
      <c r="F2" s="1050"/>
      <c r="G2" s="1050"/>
      <c r="H2" s="1050"/>
      <c r="I2" s="1050"/>
      <c r="J2" s="1050"/>
      <c r="K2" s="1050"/>
      <c r="L2" s="1050"/>
      <c r="M2" s="1092"/>
      <c r="N2" s="523"/>
      <c r="O2" s="523"/>
      <c r="P2" s="523"/>
      <c r="Q2" s="242"/>
      <c r="R2" s="241"/>
      <c r="S2" s="241"/>
      <c r="T2" s="236"/>
      <c r="U2" s="1117" t="e">
        <f>INDEX(PT_DIFFERENTIATION_NUM_NTAR,MATCH(A2,PT_DIFFERENTIATION_NTAR_ID,0))</f>
        <v>#N/A</v>
      </c>
      <c r="V2" s="173" t="s">
        <v>61</v>
      </c>
      <c r="W2" s="175"/>
      <c r="X2" s="2104"/>
      <c r="Y2" s="2105"/>
      <c r="Z2" s="2105"/>
      <c r="AA2" s="2105"/>
      <c r="AB2" s="2105"/>
      <c r="AC2" s="2105"/>
      <c r="AD2" s="2105"/>
      <c r="AE2" s="2105"/>
      <c r="AF2" s="2106"/>
      <c r="AG2" s="2104" t="e">
        <f>INDEX(PT_DIFFERENTIATION_NTAR,MATCH(A2,PT_DIFFERENTIATION_NTAR_ID,0))</f>
        <v>#N/A</v>
      </c>
      <c r="AH2" s="2105"/>
      <c r="AI2" s="2105"/>
      <c r="AJ2" s="2105"/>
      <c r="AK2" s="2105"/>
      <c r="AL2" s="2105"/>
      <c r="AM2" s="2105"/>
      <c r="AN2" s="2105"/>
      <c r="AO2" s="2105"/>
      <c r="AP2" s="2106"/>
      <c r="AQ2" s="1044" t="s">
        <v>322</v>
      </c>
      <c r="AS2" s="368"/>
      <c r="AT2" s="368" t="str">
        <f t="shared" ref="AT2:AT8" si="0">IF(V2="","",V2)</f>
        <v>Наименование тарифа</v>
      </c>
      <c r="AU2" s="368"/>
      <c r="AV2" s="368"/>
    </row>
    <row r="3" spans="1:48" ht="21" hidden="1" customHeight="1">
      <c r="A3" s="1050"/>
      <c r="B3" s="1050"/>
      <c r="C3" s="1050"/>
      <c r="D3" s="1050"/>
      <c r="E3" s="2147"/>
      <c r="F3" s="2146">
        <v>1</v>
      </c>
      <c r="G3" s="1050"/>
      <c r="H3" s="1050"/>
      <c r="I3" s="1050"/>
      <c r="J3" s="1050"/>
      <c r="K3" s="1050"/>
      <c r="L3" s="1050"/>
      <c r="M3" s="1092"/>
      <c r="N3" s="523"/>
      <c r="O3" s="523"/>
      <c r="P3" s="523"/>
      <c r="Q3" s="1113"/>
      <c r="R3" s="233"/>
      <c r="S3" s="377"/>
      <c r="T3" s="234"/>
      <c r="U3" s="1117" t="e">
        <f>INDEX(PT_DIFFERENTIATION_NUM_TER,MATCH(B3,PT_DIFFERENTIATION_TER_ID,0))</f>
        <v>#N/A</v>
      </c>
      <c r="V3" s="185" t="s">
        <v>323</v>
      </c>
      <c r="W3" s="175"/>
      <c r="X3" s="2104"/>
      <c r="Y3" s="2105"/>
      <c r="Z3" s="2105"/>
      <c r="AA3" s="2105"/>
      <c r="AB3" s="2105"/>
      <c r="AC3" s="2105"/>
      <c r="AD3" s="2105"/>
      <c r="AE3" s="2105"/>
      <c r="AF3" s="2106"/>
      <c r="AG3" s="2104" t="e">
        <f>INDEX(PT_DIFFERENTIATION_TER,MATCH(B3,PT_DIFFERENTIATION_TER_ID,0))</f>
        <v>#N/A</v>
      </c>
      <c r="AH3" s="2105"/>
      <c r="AI3" s="2105"/>
      <c r="AJ3" s="2105"/>
      <c r="AK3" s="2105"/>
      <c r="AL3" s="2105"/>
      <c r="AM3" s="2105"/>
      <c r="AN3" s="2105"/>
      <c r="AO3" s="2105"/>
      <c r="AP3" s="2106"/>
      <c r="AQ3" s="1044" t="s">
        <v>324</v>
      </c>
      <c r="AS3" s="368"/>
      <c r="AT3" s="368" t="str">
        <f t="shared" si="0"/>
        <v>Территория действия тарифа</v>
      </c>
      <c r="AU3" s="368"/>
      <c r="AV3" s="368"/>
    </row>
    <row r="4" spans="1:48" ht="22.5" hidden="1" customHeight="1">
      <c r="A4" s="1050"/>
      <c r="B4" s="1050"/>
      <c r="C4" s="1050"/>
      <c r="D4" s="1050"/>
      <c r="E4" s="2147"/>
      <c r="F4" s="2147"/>
      <c r="G4" s="2146">
        <v>1</v>
      </c>
      <c r="H4" s="1050"/>
      <c r="I4" s="1050"/>
      <c r="J4" s="1050"/>
      <c r="K4" s="1050"/>
      <c r="L4" s="1050"/>
      <c r="M4" s="1092"/>
      <c r="N4" s="523"/>
      <c r="O4" s="523"/>
      <c r="P4" s="523"/>
      <c r="Q4" s="235"/>
      <c r="R4" s="233"/>
      <c r="S4" s="377"/>
      <c r="T4" s="234"/>
      <c r="U4" s="1117" t="e">
        <f>INDEX(PT_DIFFERENTIATION_NUM_CS,MATCH(C4,PT_DIFFERENTIATION_CS_ID,0))</f>
        <v>#N/A</v>
      </c>
      <c r="V4" s="186" t="s">
        <v>325</v>
      </c>
      <c r="W4" s="175"/>
      <c r="X4" s="2104"/>
      <c r="Y4" s="2105"/>
      <c r="Z4" s="2105"/>
      <c r="AA4" s="2105"/>
      <c r="AB4" s="2105"/>
      <c r="AC4" s="2105"/>
      <c r="AD4" s="2105"/>
      <c r="AE4" s="2105"/>
      <c r="AF4" s="2106"/>
      <c r="AG4" s="2104" t="e">
        <f>INDEX(PT_DIFFERENTIATION_CS,MATCH(C4,PT_DIFFERENTIATION_CS_ID,0))</f>
        <v>#N/A</v>
      </c>
      <c r="AH4" s="2105"/>
      <c r="AI4" s="2105"/>
      <c r="AJ4" s="2105"/>
      <c r="AK4" s="2105"/>
      <c r="AL4" s="2105"/>
      <c r="AM4" s="2105"/>
      <c r="AN4" s="2105"/>
      <c r="AO4" s="2105"/>
      <c r="AP4" s="2106"/>
      <c r="AQ4" s="1044" t="s">
        <v>326</v>
      </c>
      <c r="AS4" s="368"/>
      <c r="AT4" s="368" t="str">
        <f t="shared" si="0"/>
        <v xml:space="preserve">Наименование системы теплоснабжения </v>
      </c>
      <c r="AU4" s="368"/>
      <c r="AV4" s="368"/>
    </row>
    <row r="5" spans="1:48" ht="21" hidden="1" customHeight="1">
      <c r="A5" s="1050"/>
      <c r="B5" s="1050"/>
      <c r="C5" s="1050"/>
      <c r="D5" s="1050"/>
      <c r="E5" s="2147"/>
      <c r="F5" s="2147"/>
      <c r="G5" s="2147"/>
      <c r="H5" s="2146">
        <v>1</v>
      </c>
      <c r="I5" s="1050"/>
      <c r="J5" s="1050"/>
      <c r="K5" s="1050"/>
      <c r="L5" s="1050"/>
      <c r="M5" s="1092"/>
      <c r="N5" s="523"/>
      <c r="O5" s="523"/>
      <c r="P5" s="523"/>
      <c r="Q5" s="235"/>
      <c r="R5" s="233"/>
      <c r="S5" s="377"/>
      <c r="T5" s="234"/>
      <c r="U5" s="1117" t="e">
        <f>INDEX(PT_DIFFERENTIATION_NUM_IST_TE,MATCH(D5,PT_DIFFERENTIATION_IST_TE_ID,0))</f>
        <v>#N/A</v>
      </c>
      <c r="V5" s="187" t="s">
        <v>327</v>
      </c>
      <c r="W5" s="175"/>
      <c r="X5" s="2104"/>
      <c r="Y5" s="2105"/>
      <c r="Z5" s="2105"/>
      <c r="AA5" s="2105"/>
      <c r="AB5" s="2105"/>
      <c r="AC5" s="2105"/>
      <c r="AD5" s="2105"/>
      <c r="AE5" s="2105"/>
      <c r="AF5" s="2106"/>
      <c r="AG5" s="2104" t="e">
        <f>INDEX(PT_DIFFERENTIATION_IST_TE,MATCH(D5,PT_DIFFERENTIATION_IST_TE_ID,0))</f>
        <v>#N/A</v>
      </c>
      <c r="AH5" s="2105"/>
      <c r="AI5" s="2105"/>
      <c r="AJ5" s="2105"/>
      <c r="AK5" s="2105"/>
      <c r="AL5" s="2105"/>
      <c r="AM5" s="2105"/>
      <c r="AN5" s="2105"/>
      <c r="AO5" s="2105"/>
      <c r="AP5" s="2106"/>
      <c r="AQ5" s="1044" t="s">
        <v>328</v>
      </c>
      <c r="AS5" s="368"/>
      <c r="AT5" s="368" t="str">
        <f t="shared" si="0"/>
        <v xml:space="preserve">Источник тепловой энергии  </v>
      </c>
      <c r="AU5" s="368"/>
      <c r="AV5" s="368"/>
    </row>
    <row r="6" spans="1:48" ht="14.25" hidden="1" customHeight="1">
      <c r="A6" s="1050"/>
      <c r="B6" s="1050"/>
      <c r="C6" s="1050"/>
      <c r="D6" s="1050"/>
      <c r="E6" s="2147"/>
      <c r="F6" s="2147"/>
      <c r="G6" s="2147"/>
      <c r="H6" s="2147"/>
      <c r="I6" s="2025" t="e">
        <f>U5&amp;".1"</f>
        <v>#N/A</v>
      </c>
      <c r="J6" s="1050"/>
      <c r="K6" s="1050"/>
      <c r="L6" s="1050"/>
      <c r="M6" s="1092" t="s">
        <v>329</v>
      </c>
      <c r="N6" s="377"/>
      <c r="Q6" s="2115">
        <v>1</v>
      </c>
      <c r="R6" s="1112"/>
      <c r="S6" s="1112"/>
      <c r="T6" s="237"/>
      <c r="U6" s="825"/>
      <c r="V6" s="1163"/>
      <c r="W6" s="1164"/>
      <c r="X6" s="2140"/>
      <c r="Y6" s="2141"/>
      <c r="Z6" s="2141"/>
      <c r="AA6" s="2141"/>
      <c r="AB6" s="2141"/>
      <c r="AC6" s="2141"/>
      <c r="AD6" s="2141"/>
      <c r="AE6" s="2141"/>
      <c r="AF6" s="2142"/>
      <c r="AG6" s="2140"/>
      <c r="AH6" s="2141"/>
      <c r="AI6" s="2141"/>
      <c r="AJ6" s="2141"/>
      <c r="AK6" s="2141"/>
      <c r="AL6" s="2141"/>
      <c r="AM6" s="2141"/>
      <c r="AN6" s="2141"/>
      <c r="AO6" s="2141"/>
      <c r="AP6" s="2142"/>
      <c r="AQ6" s="1165"/>
      <c r="AS6" s="368"/>
      <c r="AT6" s="368" t="str">
        <f t="shared" si="0"/>
        <v/>
      </c>
      <c r="AU6" s="368"/>
      <c r="AV6" s="368"/>
    </row>
    <row r="7" spans="1:48" ht="21" hidden="1" customHeight="1">
      <c r="A7" s="1050"/>
      <c r="B7" s="1050"/>
      <c r="C7" s="1050"/>
      <c r="D7" s="1050"/>
      <c r="E7" s="2147"/>
      <c r="F7" s="2147"/>
      <c r="G7" s="2147"/>
      <c r="H7" s="2147"/>
      <c r="I7" s="1956"/>
      <c r="J7" s="2025" t="e">
        <f>I6&amp;".1"</f>
        <v>#N/A</v>
      </c>
      <c r="K7" s="1050"/>
      <c r="L7" s="1050"/>
      <c r="M7" s="1092" t="s">
        <v>332</v>
      </c>
      <c r="N7" s="377"/>
      <c r="O7" s="210"/>
      <c r="Q7" s="2115"/>
      <c r="R7" s="2115">
        <v>1</v>
      </c>
      <c r="S7" s="386"/>
      <c r="T7" s="238"/>
      <c r="U7" s="1117" t="e">
        <f>$J7</f>
        <v>#N/A</v>
      </c>
      <c r="V7" s="162" t="s">
        <v>333</v>
      </c>
      <c r="W7" s="175"/>
      <c r="X7" s="2098"/>
      <c r="Y7" s="2099"/>
      <c r="Z7" s="2099"/>
      <c r="AA7" s="2099"/>
      <c r="AB7" s="2099"/>
      <c r="AC7" s="2091"/>
      <c r="AD7" s="2091"/>
      <c r="AE7" s="2091"/>
      <c r="AF7" s="2148"/>
      <c r="AG7" s="2098"/>
      <c r="AH7" s="2099"/>
      <c r="AI7" s="2099"/>
      <c r="AJ7" s="2099"/>
      <c r="AK7" s="2099"/>
      <c r="AL7" s="2099"/>
      <c r="AM7" s="2099"/>
      <c r="AN7" s="2099"/>
      <c r="AO7" s="2099"/>
      <c r="AP7" s="2100"/>
      <c r="AQ7" s="1044" t="s">
        <v>334</v>
      </c>
      <c r="AS7" s="368"/>
      <c r="AT7" s="368" t="str">
        <f t="shared" si="0"/>
        <v>Группа потребителей</v>
      </c>
      <c r="AU7" s="368"/>
      <c r="AV7" s="368"/>
    </row>
    <row r="8" spans="1:48" ht="21" hidden="1" customHeight="1">
      <c r="A8" s="1050"/>
      <c r="B8" s="1050"/>
      <c r="C8" s="1050"/>
      <c r="D8" s="1050"/>
      <c r="E8" s="2147"/>
      <c r="F8" s="2147"/>
      <c r="G8" s="2147"/>
      <c r="H8" s="2147"/>
      <c r="I8" s="1956"/>
      <c r="J8" s="1956"/>
      <c r="K8" s="2025" t="e">
        <f>J7&amp;".1"</f>
        <v>#N/A</v>
      </c>
      <c r="L8" s="47"/>
      <c r="M8" s="1092" t="s">
        <v>335</v>
      </c>
      <c r="N8" s="377"/>
      <c r="O8" s="210"/>
      <c r="P8" s="210"/>
      <c r="Q8" s="2115"/>
      <c r="R8" s="2115"/>
      <c r="S8" s="2115">
        <v>1</v>
      </c>
      <c r="T8" s="238"/>
      <c r="U8" s="1117" t="e">
        <f>$K8</f>
        <v>#N/A</v>
      </c>
      <c r="V8" s="1128"/>
      <c r="W8" s="175"/>
      <c r="X8" s="576"/>
      <c r="Y8" s="576"/>
      <c r="Z8" s="576"/>
      <c r="AA8" s="576"/>
      <c r="AB8" s="1185"/>
      <c r="AC8" s="2116"/>
      <c r="AD8" s="2109" t="s">
        <v>16</v>
      </c>
      <c r="AE8" s="2116"/>
      <c r="AF8" s="2109" t="s">
        <v>16</v>
      </c>
      <c r="AG8" s="1187"/>
      <c r="AH8" s="576"/>
      <c r="AI8" s="576"/>
      <c r="AJ8" s="576"/>
      <c r="AK8" s="1043"/>
      <c r="AL8" s="2116"/>
      <c r="AM8" s="2109" t="s">
        <v>16</v>
      </c>
      <c r="AN8" s="2116"/>
      <c r="AO8" s="2109" t="s">
        <v>16</v>
      </c>
      <c r="AP8" s="207"/>
      <c r="AQ8" s="1090" t="s">
        <v>377</v>
      </c>
      <c r="AR8" s="379" t="e">
        <f ca="1">STRCHECKDATE(X10:AP10)</f>
        <v>#NAME?</v>
      </c>
      <c r="AS8" s="368"/>
      <c r="AT8" s="368" t="str">
        <f t="shared" si="0"/>
        <v/>
      </c>
      <c r="AU8" s="368"/>
      <c r="AV8" s="368"/>
    </row>
    <row r="9" spans="1:48" ht="21" hidden="1" customHeight="1">
      <c r="A9" s="1050"/>
      <c r="B9" s="1050"/>
      <c r="C9" s="1050"/>
      <c r="D9" s="1050"/>
      <c r="E9" s="2147"/>
      <c r="F9" s="2147"/>
      <c r="G9" s="2147"/>
      <c r="H9" s="2147"/>
      <c r="I9" s="1956"/>
      <c r="J9" s="1956"/>
      <c r="K9" s="1956"/>
      <c r="L9" s="2025" t="e">
        <f>K8&amp;".1"</f>
        <v>#N/A</v>
      </c>
      <c r="M9" s="1092"/>
      <c r="N9" s="377"/>
      <c r="O9" s="210"/>
      <c r="P9" s="210"/>
      <c r="Q9" s="2115"/>
      <c r="R9" s="2115"/>
      <c r="S9" s="2115"/>
      <c r="T9" s="238"/>
      <c r="U9" s="1117" t="e">
        <f>$L9</f>
        <v>#N/A</v>
      </c>
      <c r="V9" s="1171"/>
      <c r="W9" s="175"/>
      <c r="X9" s="207"/>
      <c r="Y9" s="576"/>
      <c r="Z9" s="576"/>
      <c r="AA9" s="576"/>
      <c r="AB9" s="1185"/>
      <c r="AC9" s="2117"/>
      <c r="AD9" s="2109"/>
      <c r="AE9" s="2117"/>
      <c r="AF9" s="2109"/>
      <c r="AG9" s="1187"/>
      <c r="AH9" s="576"/>
      <c r="AI9" s="576"/>
      <c r="AJ9" s="576"/>
      <c r="AK9" s="1043"/>
      <c r="AL9" s="2117"/>
      <c r="AM9" s="2109"/>
      <c r="AN9" s="2117"/>
      <c r="AO9" s="2109"/>
      <c r="AP9" s="207"/>
      <c r="AQ9" s="2134" t="s">
        <v>378</v>
      </c>
      <c r="AS9" s="368"/>
      <c r="AT9" s="368"/>
      <c r="AU9" s="368"/>
      <c r="AV9" s="368"/>
    </row>
    <row r="10" spans="1:48" ht="14.25" hidden="1" customHeight="1">
      <c r="A10" s="1050"/>
      <c r="B10" s="1050"/>
      <c r="C10" s="1050"/>
      <c r="D10" s="1050"/>
      <c r="E10" s="2147"/>
      <c r="F10" s="2147"/>
      <c r="G10" s="2147"/>
      <c r="H10" s="2147"/>
      <c r="I10" s="1956"/>
      <c r="J10" s="1956"/>
      <c r="K10" s="1956"/>
      <c r="L10" s="2025"/>
      <c r="M10" s="1092"/>
      <c r="N10" s="377"/>
      <c r="O10" s="210"/>
      <c r="P10" s="210"/>
      <c r="Q10" s="2115"/>
      <c r="R10" s="2115"/>
      <c r="S10" s="2115"/>
      <c r="T10" s="238"/>
      <c r="U10" s="1123"/>
      <c r="V10" s="175"/>
      <c r="W10" s="175"/>
      <c r="X10" s="207"/>
      <c r="Y10" s="207"/>
      <c r="Z10" s="207"/>
      <c r="AA10" s="207"/>
      <c r="AB10" s="1186" t="str">
        <f>AC8&amp;"-"&amp;AE8</f>
        <v>-</v>
      </c>
      <c r="AC10" s="2117"/>
      <c r="AD10" s="2109"/>
      <c r="AE10" s="2117"/>
      <c r="AF10" s="2109"/>
      <c r="AG10" s="1162"/>
      <c r="AH10" s="207"/>
      <c r="AI10" s="207"/>
      <c r="AJ10" s="207"/>
      <c r="AK10" s="211" t="str">
        <f>AL8&amp;"-"&amp;AN8</f>
        <v>-</v>
      </c>
      <c r="AL10" s="2117"/>
      <c r="AM10" s="2109"/>
      <c r="AN10" s="2117"/>
      <c r="AO10" s="2109"/>
      <c r="AP10" s="207"/>
      <c r="AQ10" s="2135"/>
      <c r="AS10" s="368"/>
      <c r="AT10" s="368" t="str">
        <f>IF(V10="","",V10)</f>
        <v/>
      </c>
      <c r="AU10" s="368"/>
      <c r="AV10" s="368"/>
    </row>
    <row r="11" spans="1:48" ht="11.25" hidden="1" customHeight="1">
      <c r="A11" s="1050"/>
      <c r="B11" s="1050"/>
      <c r="C11" s="1050"/>
      <c r="D11" s="1050"/>
      <c r="E11" s="2147"/>
      <c r="F11" s="2147"/>
      <c r="G11" s="2147"/>
      <c r="H11" s="2147"/>
      <c r="I11" s="1956"/>
      <c r="J11" s="1956"/>
      <c r="K11" s="2025"/>
      <c r="L11" s="1050"/>
      <c r="M11" s="1092"/>
      <c r="N11" s="377"/>
      <c r="O11" s="210"/>
      <c r="P11" s="210"/>
      <c r="Q11" s="2115"/>
      <c r="R11" s="2115"/>
      <c r="S11" s="2115"/>
      <c r="T11" s="238"/>
      <c r="U11" s="1062"/>
      <c r="V11" s="164" t="s">
        <v>379</v>
      </c>
      <c r="W11" s="1172"/>
      <c r="X11" s="1173"/>
      <c r="Y11" s="1173"/>
      <c r="Z11" s="1173"/>
      <c r="AA11" s="1173"/>
      <c r="AB11" s="1174"/>
      <c r="AC11" s="2117"/>
      <c r="AD11" s="2109"/>
      <c r="AE11" s="2117"/>
      <c r="AF11" s="2109"/>
      <c r="AG11" s="1173"/>
      <c r="AH11" s="1173"/>
      <c r="AI11" s="1173"/>
      <c r="AJ11" s="1173"/>
      <c r="AK11" s="1174"/>
      <c r="AL11" s="2117"/>
      <c r="AM11" s="2109"/>
      <c r="AN11" s="2117"/>
      <c r="AO11" s="2109"/>
      <c r="AP11" s="1175"/>
      <c r="AQ11" s="2135"/>
      <c r="AS11" s="368"/>
      <c r="AT11" s="368"/>
      <c r="AU11" s="368"/>
      <c r="AV11" s="368"/>
    </row>
    <row r="12" spans="1:48" ht="15" hidden="1" customHeight="1">
      <c r="A12" s="1050"/>
      <c r="B12" s="1050"/>
      <c r="C12" s="1050"/>
      <c r="D12" s="1050"/>
      <c r="E12" s="2147"/>
      <c r="F12" s="2147"/>
      <c r="G12" s="2147"/>
      <c r="H12" s="2147"/>
      <c r="I12" s="1956"/>
      <c r="J12" s="2025"/>
      <c r="K12" s="1050"/>
      <c r="L12" s="1050"/>
      <c r="M12" s="1092"/>
      <c r="N12" s="377"/>
      <c r="O12" s="210"/>
      <c r="Q12" s="2115"/>
      <c r="R12" s="2115"/>
      <c r="S12" s="1112"/>
      <c r="T12" s="237"/>
      <c r="U12" s="1062"/>
      <c r="V12" s="163" t="s">
        <v>337</v>
      </c>
      <c r="W12" s="251"/>
      <c r="X12" s="251"/>
      <c r="Y12" s="251"/>
      <c r="Z12" s="251"/>
      <c r="AA12" s="251"/>
      <c r="AB12" s="251"/>
      <c r="AC12" s="1188"/>
      <c r="AD12" s="1188"/>
      <c r="AE12" s="1188"/>
      <c r="AF12" s="1188"/>
      <c r="AG12" s="251"/>
      <c r="AH12" s="251"/>
      <c r="AI12" s="251"/>
      <c r="AJ12" s="251"/>
      <c r="AK12" s="251"/>
      <c r="AL12" s="251"/>
      <c r="AM12" s="251"/>
      <c r="AN12" s="251"/>
      <c r="AO12" s="251"/>
      <c r="AP12" s="206"/>
      <c r="AQ12" s="2136"/>
      <c r="AS12" s="368"/>
      <c r="AT12" s="368" t="str">
        <f t="shared" ref="AT12:AT17" si="1">IF(V12="","",V12)</f>
        <v>Добавить вид теплоносителя (параметры теплоносителя)</v>
      </c>
      <c r="AU12" s="368"/>
      <c r="AV12" s="368"/>
    </row>
    <row r="13" spans="1:48" ht="11.25" hidden="1" customHeight="1">
      <c r="A13" s="1050"/>
      <c r="B13" s="1050"/>
      <c r="C13" s="1050"/>
      <c r="D13" s="1050"/>
      <c r="E13" s="2147"/>
      <c r="F13" s="2147"/>
      <c r="G13" s="2147"/>
      <c r="H13" s="2147"/>
      <c r="I13" s="2025"/>
      <c r="J13" s="1050"/>
      <c r="K13" s="1050"/>
      <c r="L13" s="1050"/>
      <c r="M13" s="1092"/>
      <c r="N13" s="377"/>
      <c r="Q13" s="2115"/>
      <c r="R13" s="1112"/>
      <c r="S13" s="1112"/>
      <c r="T13" s="237"/>
      <c r="U13" s="1062"/>
      <c r="V13" s="248" t="s">
        <v>338</v>
      </c>
      <c r="W13" s="251"/>
      <c r="X13" s="251"/>
      <c r="Y13" s="251"/>
      <c r="Z13" s="251"/>
      <c r="AA13" s="251"/>
      <c r="AB13" s="251"/>
      <c r="AC13" s="251"/>
      <c r="AD13" s="251"/>
      <c r="AE13" s="251"/>
      <c r="AF13" s="250"/>
      <c r="AG13" s="251"/>
      <c r="AH13" s="251"/>
      <c r="AI13" s="251"/>
      <c r="AJ13" s="251"/>
      <c r="AK13" s="251"/>
      <c r="AL13" s="251"/>
      <c r="AM13" s="251"/>
      <c r="AN13" s="251"/>
      <c r="AO13" s="250"/>
      <c r="AP13" s="251"/>
      <c r="AQ13" s="178"/>
      <c r="AS13" s="368"/>
      <c r="AT13" s="368" t="str">
        <f t="shared" si="1"/>
        <v>Добавить группу потребителей</v>
      </c>
      <c r="AU13" s="368"/>
      <c r="AV13" s="368"/>
    </row>
    <row r="14" spans="1:48" ht="14.25" hidden="1" customHeight="1">
      <c r="A14" s="1050"/>
      <c r="B14" s="1050"/>
      <c r="C14" s="1050"/>
      <c r="D14" s="1050"/>
      <c r="E14" s="2147"/>
      <c r="F14" s="2147"/>
      <c r="G14" s="2147"/>
      <c r="H14" s="2146"/>
      <c r="I14" s="1050"/>
      <c r="J14" s="1050"/>
      <c r="K14" s="1050"/>
      <c r="L14" s="1050"/>
      <c r="M14" s="1092"/>
      <c r="N14" s="523"/>
      <c r="O14" s="523"/>
      <c r="P14" s="377"/>
      <c r="Q14" s="241"/>
      <c r="R14" s="260"/>
      <c r="S14" s="236"/>
      <c r="T14" s="241"/>
      <c r="U14" s="1166"/>
      <c r="V14" s="1167"/>
      <c r="W14" s="1168"/>
      <c r="X14" s="1168"/>
      <c r="Y14" s="1168"/>
      <c r="Z14" s="1168"/>
      <c r="AA14" s="1168"/>
      <c r="AB14" s="1168"/>
      <c r="AC14" s="1168"/>
      <c r="AD14" s="1168"/>
      <c r="AE14" s="1168"/>
      <c r="AF14" s="1168"/>
      <c r="AG14" s="1168"/>
      <c r="AH14" s="1168"/>
      <c r="AI14" s="1168"/>
      <c r="AJ14" s="1168"/>
      <c r="AK14" s="1168"/>
      <c r="AL14" s="1168"/>
      <c r="AM14" s="1168"/>
      <c r="AN14" s="1168"/>
      <c r="AO14" s="1168"/>
      <c r="AP14" s="1168"/>
      <c r="AQ14" s="1169"/>
      <c r="AS14" s="368"/>
      <c r="AT14" s="368" t="str">
        <f t="shared" si="1"/>
        <v/>
      </c>
      <c r="AU14" s="368"/>
      <c r="AV14" s="368"/>
    </row>
    <row r="15" spans="1:48" s="1686" customFormat="1" ht="14.25" hidden="1" customHeight="1">
      <c r="A15" s="1154"/>
      <c r="B15" s="1154"/>
      <c r="C15" s="1154"/>
      <c r="D15" s="1154"/>
      <c r="E15" s="2147"/>
      <c r="F15" s="2147"/>
      <c r="G15" s="2146"/>
      <c r="H15" s="1154"/>
      <c r="I15" s="1154"/>
      <c r="J15" s="1154"/>
      <c r="K15" s="1154"/>
      <c r="L15" s="1154"/>
      <c r="M15" s="1157"/>
      <c r="N15" s="1158"/>
      <c r="O15" s="1158"/>
      <c r="P15" s="232"/>
      <c r="Q15" s="1098"/>
      <c r="R15" s="1099"/>
      <c r="S15" s="1098"/>
      <c r="T15" s="1098"/>
      <c r="U15" s="1100"/>
      <c r="V15" s="1101" t="s">
        <v>340</v>
      </c>
      <c r="W15" s="1102"/>
      <c r="X15" s="1102"/>
      <c r="Y15" s="1102"/>
      <c r="Z15" s="1102"/>
      <c r="AA15" s="1102"/>
      <c r="AB15" s="1102"/>
      <c r="AC15" s="1102"/>
      <c r="AD15" s="1102"/>
      <c r="AE15" s="1102"/>
      <c r="AF15" s="1102"/>
      <c r="AG15" s="1102"/>
      <c r="AH15" s="1102"/>
      <c r="AI15" s="1102"/>
      <c r="AJ15" s="1102"/>
      <c r="AK15" s="1102"/>
      <c r="AL15" s="1102"/>
      <c r="AM15" s="1102"/>
      <c r="AN15" s="1102"/>
      <c r="AO15" s="1102"/>
      <c r="AP15" s="1102"/>
      <c r="AQ15" s="1102"/>
      <c r="AS15" s="598"/>
      <c r="AT15" s="598" t="str">
        <f t="shared" si="1"/>
        <v>Добавить источник для дифференциации</v>
      </c>
      <c r="AU15" s="598"/>
      <c r="AV15" s="598"/>
    </row>
    <row r="16" spans="1:48" s="1686" customFormat="1" ht="14.25" hidden="1" customHeight="1">
      <c r="A16" s="1154"/>
      <c r="B16" s="1154"/>
      <c r="C16" s="1154"/>
      <c r="D16" s="1154"/>
      <c r="E16" s="2147"/>
      <c r="F16" s="2146"/>
      <c r="G16" s="1154"/>
      <c r="H16" s="1154"/>
      <c r="I16" s="1154"/>
      <c r="J16" s="1154"/>
      <c r="K16" s="1154"/>
      <c r="L16" s="1154"/>
      <c r="M16" s="1157"/>
      <c r="N16" s="1159"/>
      <c r="O16" s="1159"/>
      <c r="P16" s="232"/>
      <c r="Q16" s="1098"/>
      <c r="R16" s="1099"/>
      <c r="S16" s="1098"/>
      <c r="T16" s="1098"/>
      <c r="U16" s="1104"/>
      <c r="V16" s="1105" t="s">
        <v>341</v>
      </c>
      <c r="W16" s="1106"/>
      <c r="X16" s="1106"/>
      <c r="Y16" s="1106"/>
      <c r="Z16" s="1106"/>
      <c r="AA16" s="1106"/>
      <c r="AB16" s="1106"/>
      <c r="AC16" s="1106"/>
      <c r="AD16" s="1106"/>
      <c r="AE16" s="1106"/>
      <c r="AF16" s="1106"/>
      <c r="AG16" s="1106"/>
      <c r="AH16" s="1106"/>
      <c r="AI16" s="1106"/>
      <c r="AJ16" s="1106"/>
      <c r="AK16" s="1106"/>
      <c r="AL16" s="1106"/>
      <c r="AM16" s="1106"/>
      <c r="AN16" s="1106"/>
      <c r="AO16" s="1106"/>
      <c r="AP16" s="1106"/>
      <c r="AQ16" s="1106"/>
      <c r="AS16" s="598"/>
      <c r="AT16" s="598" t="str">
        <f t="shared" si="1"/>
        <v>Добавить централизованную систему для дифференциации</v>
      </c>
      <c r="AU16" s="598"/>
      <c r="AV16" s="598"/>
    </row>
    <row r="17" spans="1:48" s="1686" customFormat="1" ht="14.25" hidden="1" customHeight="1">
      <c r="A17" s="1154"/>
      <c r="B17" s="1154"/>
      <c r="C17" s="1154"/>
      <c r="D17" s="1154"/>
      <c r="E17" s="2146"/>
      <c r="F17" s="1154"/>
      <c r="G17" s="1154"/>
      <c r="H17" s="1154"/>
      <c r="I17" s="1154"/>
      <c r="J17" s="1154"/>
      <c r="K17" s="1154"/>
      <c r="L17" s="1154"/>
      <c r="M17" s="1157"/>
      <c r="N17" s="1159"/>
      <c r="O17" s="1159"/>
      <c r="P17" s="232"/>
      <c r="Q17" s="1098"/>
      <c r="R17" s="1099"/>
      <c r="S17" s="1098"/>
      <c r="T17" s="1098"/>
      <c r="U17" s="1104"/>
      <c r="V17" s="1107" t="s">
        <v>342</v>
      </c>
      <c r="W17" s="1106"/>
      <c r="X17" s="1106"/>
      <c r="Y17" s="1106"/>
      <c r="Z17" s="1106"/>
      <c r="AA17" s="1106"/>
      <c r="AB17" s="1106"/>
      <c r="AC17" s="1106"/>
      <c r="AD17" s="1106"/>
      <c r="AE17" s="1106"/>
      <c r="AF17" s="1106"/>
      <c r="AG17" s="1106"/>
      <c r="AH17" s="1106"/>
      <c r="AI17" s="1106"/>
      <c r="AJ17" s="1106"/>
      <c r="AK17" s="1106"/>
      <c r="AL17" s="1106"/>
      <c r="AM17" s="1106"/>
      <c r="AN17" s="1106"/>
      <c r="AO17" s="1106"/>
      <c r="AP17" s="1106"/>
      <c r="AQ17" s="1106"/>
      <c r="AS17" s="598"/>
      <c r="AT17" s="598" t="str">
        <f t="shared" si="1"/>
        <v>Добавить территорию для дифференциации</v>
      </c>
      <c r="AU17" s="598"/>
      <c r="AV17" s="598"/>
    </row>
    <row r="18" spans="1:48" ht="14.25" hidden="1" customHeight="1">
      <c r="AF18" s="210"/>
      <c r="AO18" s="210"/>
    </row>
    <row r="19" spans="1:48" ht="14.25" hidden="1" customHeight="1">
      <c r="AG19" s="1140"/>
      <c r="AH19" s="1140"/>
      <c r="AI19" s="1140"/>
      <c r="AJ19" s="1140"/>
      <c r="AK19" s="1141"/>
      <c r="AL19" s="2108"/>
      <c r="AM19" s="2107" t="s">
        <v>16</v>
      </c>
      <c r="AN19" s="2108"/>
      <c r="AO19" s="2107" t="s">
        <v>16</v>
      </c>
    </row>
    <row r="20" spans="1:48" ht="14.25" hidden="1" customHeight="1">
      <c r="AG20" s="1140"/>
      <c r="AH20" s="1140"/>
      <c r="AI20" s="1140"/>
      <c r="AJ20" s="1140"/>
      <c r="AK20" s="1141"/>
      <c r="AL20" s="2108"/>
      <c r="AM20" s="2107"/>
      <c r="AN20" s="2108"/>
      <c r="AO20" s="2107"/>
    </row>
    <row r="21" spans="1:48" ht="14.25" hidden="1" customHeight="1">
      <c r="AG21" s="1140"/>
      <c r="AH21" s="1140"/>
      <c r="AI21" s="1140"/>
      <c r="AJ21" s="1140"/>
      <c r="AK21" s="1141"/>
      <c r="AL21" s="2108"/>
      <c r="AM21" s="2107"/>
      <c r="AN21" s="2108"/>
      <c r="AO21" s="2107"/>
    </row>
    <row r="22" spans="1:48" ht="14.25" hidden="1" customHeight="1">
      <c r="AG22" s="1140"/>
      <c r="AH22" s="1140"/>
      <c r="AI22" s="1140"/>
      <c r="AJ22" s="1140"/>
      <c r="AK22" s="211" t="str">
        <f>AL19&amp;"-"&amp;AN19</f>
        <v>-</v>
      </c>
      <c r="AL22" s="2107"/>
      <c r="AM22" s="2107"/>
      <c r="AN22" s="2107"/>
      <c r="AO22" s="2107"/>
    </row>
    <row r="23" spans="1:48" ht="14.25" hidden="1" customHeight="1">
      <c r="AO23" s="210"/>
    </row>
    <row r="24" spans="1:48" s="1687" customFormat="1" ht="22.5" hidden="1" customHeight="1">
      <c r="A24" s="924"/>
      <c r="B24" s="924"/>
      <c r="C24" s="924"/>
      <c r="D24" s="924"/>
      <c r="E24" s="924"/>
      <c r="F24" s="924"/>
      <c r="G24" s="924"/>
      <c r="H24" s="924"/>
      <c r="I24" s="924"/>
      <c r="J24" s="924"/>
      <c r="K24" s="924"/>
      <c r="L24" s="924"/>
      <c r="M24" s="1108"/>
      <c r="N24" s="1109"/>
      <c r="O24" s="1109"/>
      <c r="P24" s="1126" t="s">
        <v>343</v>
      </c>
      <c r="Q24" s="1142"/>
      <c r="R24" s="1151"/>
      <c r="S24" s="1151"/>
      <c r="T24" s="1151"/>
      <c r="U24" s="556"/>
      <c r="AC24" s="1147"/>
      <c r="AE24" s="1147"/>
      <c r="AF24" s="1146"/>
      <c r="AL24" s="1147"/>
      <c r="AN24" s="1147"/>
      <c r="AO24" s="1146"/>
      <c r="AR24" s="379"/>
      <c r="AS24" s="379"/>
      <c r="AT24" s="379"/>
      <c r="AU24" s="379"/>
      <c r="AV24" s="379"/>
    </row>
    <row r="25" spans="1:48" s="1687" customFormat="1" ht="14.25" hidden="1" customHeight="1">
      <c r="A25" s="924"/>
      <c r="B25" s="924"/>
      <c r="C25" s="924"/>
      <c r="D25" s="924"/>
      <c r="E25" s="924"/>
      <c r="F25" s="924"/>
      <c r="G25" s="924"/>
      <c r="H25" s="924"/>
      <c r="I25" s="924"/>
      <c r="J25" s="924"/>
      <c r="K25" s="924"/>
      <c r="L25" s="924"/>
      <c r="M25" s="1108"/>
      <c r="N25" s="1109"/>
      <c r="O25" s="1109"/>
      <c r="P25" s="1109"/>
      <c r="Q25" s="1142"/>
      <c r="R25" s="1151"/>
      <c r="S25" s="1151"/>
      <c r="T25" s="1151"/>
      <c r="U25" s="556"/>
      <c r="AF25" s="1146"/>
      <c r="AO25" s="1146"/>
      <c r="AR25" s="379"/>
      <c r="AS25" s="379"/>
      <c r="AT25" s="379"/>
      <c r="AU25" s="379"/>
      <c r="AV25" s="379"/>
    </row>
    <row r="26" spans="1:48" s="1687" customFormat="1" ht="14.25" hidden="1" customHeight="1">
      <c r="A26" s="924"/>
      <c r="B26" s="924"/>
      <c r="C26" s="924"/>
      <c r="D26" s="924"/>
      <c r="E26" s="924"/>
      <c r="F26" s="924"/>
      <c r="G26" s="924"/>
      <c r="H26" s="924"/>
      <c r="I26" s="924"/>
      <c r="J26" s="924"/>
      <c r="K26" s="924"/>
      <c r="L26" s="924"/>
      <c r="M26" s="1108"/>
      <c r="N26" s="1109"/>
      <c r="O26" s="1109"/>
      <c r="P26" s="1092" t="s">
        <v>344</v>
      </c>
      <c r="Q26" s="1142"/>
      <c r="R26" s="1151"/>
      <c r="S26" s="1151"/>
      <c r="T26" s="1151"/>
      <c r="U26" s="556"/>
      <c r="V26" s="929" t="s">
        <v>345</v>
      </c>
      <c r="AD26" s="86" t="s">
        <v>346</v>
      </c>
      <c r="AF26" s="86" t="s">
        <v>347</v>
      </c>
      <c r="AG26" s="929" t="s">
        <v>345</v>
      </c>
      <c r="AM26" s="86" t="s">
        <v>348</v>
      </c>
      <c r="AO26" s="86" t="s">
        <v>347</v>
      </c>
      <c r="AR26" s="379"/>
      <c r="AS26" s="379"/>
      <c r="AT26" s="379"/>
      <c r="AU26" s="379"/>
      <c r="AV26" s="379"/>
    </row>
    <row r="27" spans="1:48" ht="14.25" hidden="1" customHeight="1">
      <c r="P27" s="1092"/>
    </row>
    <row r="28" spans="1:48" ht="14.25" hidden="1" customHeight="1">
      <c r="P28" s="1092"/>
    </row>
    <row r="29" spans="1:48" ht="14.25" customHeight="1">
      <c r="R29" s="261"/>
      <c r="S29" s="261"/>
      <c r="T29" s="261"/>
      <c r="U29" s="1059"/>
      <c r="V29" s="246"/>
      <c r="W29" s="246"/>
      <c r="X29" s="377"/>
      <c r="Y29" s="377"/>
      <c r="Z29" s="377"/>
      <c r="AA29" s="377"/>
      <c r="AB29" s="377"/>
      <c r="AC29" s="377"/>
      <c r="AD29" s="377"/>
      <c r="AE29" s="377"/>
      <c r="AF29" s="377"/>
      <c r="AG29" s="377"/>
      <c r="AH29" s="377"/>
      <c r="AI29" s="377"/>
      <c r="AJ29" s="377"/>
      <c r="AK29" s="377"/>
      <c r="AL29" s="377"/>
      <c r="AM29" s="377"/>
      <c r="AN29" s="377"/>
      <c r="AO29" s="377"/>
    </row>
    <row r="30" spans="1:48" ht="54" customHeight="1">
      <c r="R30" s="261"/>
      <c r="S30" s="261"/>
      <c r="T30" s="261"/>
      <c r="U30" s="208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88"/>
      <c r="W30" s="2088"/>
      <c r="X30" s="2088"/>
      <c r="Y30" s="2088"/>
      <c r="Z30" s="2088"/>
      <c r="AA30" s="2088"/>
      <c r="AB30" s="2088"/>
      <c r="AC30" s="2088"/>
      <c r="AD30" s="2088"/>
      <c r="AE30" s="2088"/>
      <c r="AF30" s="2088"/>
      <c r="AG30" s="2088"/>
      <c r="AH30" s="2088"/>
      <c r="AI30" s="2088"/>
      <c r="AJ30" s="2088"/>
      <c r="AK30" s="2088"/>
      <c r="AL30" s="2088"/>
      <c r="AM30" s="2088"/>
      <c r="AN30" s="2088"/>
      <c r="AO30" s="1019"/>
    </row>
    <row r="31" spans="1:48" ht="14.25" customHeight="1">
      <c r="R31" s="261"/>
      <c r="S31" s="261"/>
      <c r="T31" s="261"/>
      <c r="U31" s="2059" t="e">
        <f>IF(org=0,"Не определено",org)</f>
        <v>#REF!</v>
      </c>
      <c r="V31" s="2059"/>
      <c r="W31" s="2059"/>
      <c r="X31" s="2059"/>
      <c r="Y31" s="2059"/>
      <c r="Z31" s="2059"/>
      <c r="AA31" s="2059"/>
      <c r="AB31" s="2059"/>
      <c r="AC31" s="2059"/>
      <c r="AD31" s="2059"/>
      <c r="AE31" s="2059"/>
      <c r="AF31" s="2059"/>
      <c r="AG31" s="2059"/>
      <c r="AH31" s="2059"/>
      <c r="AI31" s="2059"/>
      <c r="AJ31" s="2059"/>
      <c r="AK31" s="2059"/>
      <c r="AL31" s="2059"/>
      <c r="AM31" s="2059"/>
      <c r="AN31" s="2059"/>
      <c r="AO31" s="1019"/>
    </row>
    <row r="32" spans="1:48" ht="14.25" hidden="1" customHeight="1">
      <c r="R32" s="261"/>
      <c r="S32" s="261"/>
      <c r="T32" s="261"/>
      <c r="U32" s="1059"/>
      <c r="V32" s="246"/>
      <c r="W32" s="246"/>
      <c r="X32" s="203"/>
      <c r="Y32" s="203"/>
      <c r="Z32" s="203"/>
      <c r="AA32" s="203"/>
      <c r="AB32" s="203"/>
      <c r="AC32" s="203"/>
      <c r="AD32" s="203"/>
      <c r="AE32" s="203"/>
      <c r="AF32" s="203"/>
      <c r="AG32" s="203"/>
      <c r="AH32" s="203"/>
      <c r="AI32" s="203"/>
      <c r="AJ32" s="203"/>
      <c r="AK32" s="203"/>
      <c r="AL32" s="203"/>
      <c r="AM32" s="203"/>
      <c r="AN32" s="203"/>
      <c r="AO32" s="203"/>
      <c r="AP32" s="377"/>
    </row>
    <row r="33" spans="1:48" s="1692" customFormat="1" ht="25.5" hidden="1" customHeight="1">
      <c r="A33" s="1025"/>
      <c r="B33" s="1025"/>
      <c r="C33" s="1025"/>
      <c r="D33" s="1025"/>
      <c r="E33" s="1025"/>
      <c r="F33" s="1025"/>
      <c r="G33" s="1025"/>
      <c r="H33" s="1025"/>
      <c r="I33" s="1025"/>
      <c r="J33" s="1025"/>
      <c r="K33" s="1025"/>
      <c r="L33" s="1025"/>
      <c r="M33" s="1160"/>
      <c r="N33" s="1025"/>
      <c r="O33" s="1025"/>
      <c r="P33" s="1025"/>
      <c r="U33" s="2101" t="s">
        <v>6</v>
      </c>
      <c r="V33" s="2101"/>
      <c r="W33" s="1152"/>
      <c r="X33" s="2103" t="e">
        <f>IF(TITLE_NAME_OR_PR_CHANGE="",IF(TITLE_NAME_OR_PR="","",TITLE_NAME_OR_PR),TITLE_NAME_OR_PR_CHANGE)</f>
        <v>#REF!</v>
      </c>
      <c r="Y33" s="2103"/>
      <c r="Z33" s="2103"/>
      <c r="AA33" s="2103"/>
      <c r="AB33" s="2103"/>
      <c r="AC33" s="2103"/>
      <c r="AD33" s="2103"/>
      <c r="AE33" s="2103"/>
      <c r="AF33" s="209"/>
      <c r="AG33" s="2103" t="e">
        <f>IF(TITLE_NAME_OR_PR_CHANGE="",IF(TITLE_NAME_OR_PR="","",TITLE_NAME_OR_PR),TITLE_NAME_OR_PR_CHANGE)</f>
        <v>#REF!</v>
      </c>
      <c r="AH33" s="2103"/>
      <c r="AI33" s="2103"/>
      <c r="AJ33" s="2103"/>
      <c r="AK33" s="2103"/>
      <c r="AL33" s="2103"/>
      <c r="AM33" s="2103"/>
      <c r="AN33" s="2103"/>
      <c r="AO33" s="209"/>
      <c r="AP33" s="209"/>
      <c r="AQ33" s="157"/>
      <c r="AR33" s="252"/>
      <c r="AS33" s="252"/>
      <c r="AT33" s="252"/>
      <c r="AU33" s="252"/>
      <c r="AV33" s="252"/>
    </row>
    <row r="34" spans="1:48" s="1692" customFormat="1" ht="18.75" hidden="1" customHeight="1">
      <c r="A34" s="1025"/>
      <c r="B34" s="1025"/>
      <c r="C34" s="1025"/>
      <c r="D34" s="1025"/>
      <c r="E34" s="1025"/>
      <c r="F34" s="1025"/>
      <c r="G34" s="1025"/>
      <c r="H34" s="1025"/>
      <c r="I34" s="1025"/>
      <c r="J34" s="1025"/>
      <c r="K34" s="1025"/>
      <c r="L34" s="1025"/>
      <c r="M34" s="1160"/>
      <c r="N34" s="1025"/>
      <c r="O34" s="1025"/>
      <c r="P34" s="1025"/>
      <c r="U34" s="2101" t="s">
        <v>349</v>
      </c>
      <c r="V34" s="2101"/>
      <c r="W34" s="1152"/>
      <c r="X34" s="2102" t="e">
        <f>IF(TITLE_DATE_PR_CHANGE="",IF(TITLE_DATE_PR="","",TITLE_DATE_PR),TITLE_DATE_PR_CHANGE)</f>
        <v>#REF!</v>
      </c>
      <c r="Y34" s="2102"/>
      <c r="Z34" s="2102"/>
      <c r="AA34" s="2102"/>
      <c r="AB34" s="2102"/>
      <c r="AC34" s="2102"/>
      <c r="AD34" s="2102"/>
      <c r="AE34" s="2102"/>
      <c r="AF34" s="209"/>
      <c r="AG34" s="2102" t="e">
        <f>IF(TITLE_DATE_PR_CHANGE="",IF(TITLE_DATE_PR="","",TITLE_DATE_PR),TITLE_DATE_PR_CHANGE)</f>
        <v>#REF!</v>
      </c>
      <c r="AH34" s="2102"/>
      <c r="AI34" s="2102"/>
      <c r="AJ34" s="2102"/>
      <c r="AK34" s="2102"/>
      <c r="AL34" s="2102"/>
      <c r="AM34" s="2102"/>
      <c r="AN34" s="2102"/>
      <c r="AO34" s="209"/>
      <c r="AP34" s="209"/>
      <c r="AQ34" s="157"/>
      <c r="AR34" s="252"/>
      <c r="AS34" s="252"/>
      <c r="AT34" s="252"/>
      <c r="AU34" s="252"/>
      <c r="AV34" s="252"/>
    </row>
    <row r="35" spans="1:48" s="1692" customFormat="1" ht="18.75" hidden="1" customHeight="1">
      <c r="A35" s="1025"/>
      <c r="B35" s="1025"/>
      <c r="C35" s="1025"/>
      <c r="D35" s="1025"/>
      <c r="E35" s="1025"/>
      <c r="F35" s="1025"/>
      <c r="G35" s="1025"/>
      <c r="H35" s="1025"/>
      <c r="I35" s="1025"/>
      <c r="J35" s="1025"/>
      <c r="K35" s="1025"/>
      <c r="L35" s="1025"/>
      <c r="M35" s="1160"/>
      <c r="N35" s="1025"/>
      <c r="O35" s="1025"/>
      <c r="P35" s="1025"/>
      <c r="U35" s="2101" t="s">
        <v>350</v>
      </c>
      <c r="V35" s="2101"/>
      <c r="W35" s="1152"/>
      <c r="X35" s="2103" t="e">
        <f>IF(TITLE_NUMBER_PR_CHANGE="",IF(TITLE_NUMBER_PR="","",TITLE_NUMBER_PR),TITLE_NUMBER_PR_CHANGE)</f>
        <v>#REF!</v>
      </c>
      <c r="Y35" s="2103"/>
      <c r="Z35" s="2103"/>
      <c r="AA35" s="2103"/>
      <c r="AB35" s="2103"/>
      <c r="AC35" s="2103"/>
      <c r="AD35" s="2103"/>
      <c r="AE35" s="2103"/>
      <c r="AF35" s="209"/>
      <c r="AG35" s="2103" t="e">
        <f>IF(TITLE_NUMBER_PR_CHANGE="",IF(TITLE_NUMBER_PR="","",TITLE_NUMBER_PR),TITLE_NUMBER_PR_CHANGE)</f>
        <v>#REF!</v>
      </c>
      <c r="AH35" s="2103"/>
      <c r="AI35" s="2103"/>
      <c r="AJ35" s="2103"/>
      <c r="AK35" s="2103"/>
      <c r="AL35" s="2103"/>
      <c r="AM35" s="2103"/>
      <c r="AN35" s="2103"/>
      <c r="AO35" s="209"/>
      <c r="AP35" s="209"/>
      <c r="AQ35" s="157"/>
      <c r="AR35" s="252"/>
      <c r="AS35" s="252"/>
      <c r="AT35" s="252"/>
      <c r="AU35" s="252"/>
      <c r="AV35" s="252"/>
    </row>
    <row r="36" spans="1:48" s="1692" customFormat="1" ht="18.75" hidden="1" customHeight="1">
      <c r="A36" s="1025"/>
      <c r="B36" s="1025"/>
      <c r="C36" s="1025"/>
      <c r="D36" s="1025"/>
      <c r="E36" s="1025"/>
      <c r="F36" s="1025"/>
      <c r="G36" s="1025"/>
      <c r="H36" s="1025"/>
      <c r="I36" s="1025"/>
      <c r="J36" s="1025"/>
      <c r="K36" s="1025"/>
      <c r="L36" s="1025"/>
      <c r="M36" s="1160"/>
      <c r="N36" s="1025"/>
      <c r="O36" s="1025"/>
      <c r="P36" s="1025"/>
      <c r="U36" s="2101" t="s">
        <v>7</v>
      </c>
      <c r="V36" s="2101"/>
      <c r="W36" s="1152"/>
      <c r="X36" s="2103" t="e">
        <f>IF(TITLE_IST_PUB_CHANGE="",IF(TITLE_IST_PUB="","",TITLE_IST_PUB),TITLE_IST_PUB_CHANGE)</f>
        <v>#REF!</v>
      </c>
      <c r="Y36" s="2103"/>
      <c r="Z36" s="2103"/>
      <c r="AA36" s="2103"/>
      <c r="AB36" s="2103"/>
      <c r="AC36" s="2103"/>
      <c r="AD36" s="2103"/>
      <c r="AE36" s="2103"/>
      <c r="AF36" s="209"/>
      <c r="AG36" s="2103" t="e">
        <f>IF(TITLE_IST_PUB_CHANGE="",IF(TITLE_IST_PUB="","",TITLE_IST_PUB),TITLE_IST_PUB_CHANGE)</f>
        <v>#REF!</v>
      </c>
      <c r="AH36" s="2103"/>
      <c r="AI36" s="2103"/>
      <c r="AJ36" s="2103"/>
      <c r="AK36" s="2103"/>
      <c r="AL36" s="2103"/>
      <c r="AM36" s="2103"/>
      <c r="AN36" s="2103"/>
      <c r="AO36" s="209"/>
      <c r="AP36" s="209"/>
      <c r="AQ36" s="157"/>
      <c r="AR36" s="252"/>
      <c r="AS36" s="252"/>
      <c r="AT36" s="252"/>
      <c r="AU36" s="252"/>
      <c r="AV36" s="252"/>
    </row>
    <row r="37" spans="1:48" ht="14.25" hidden="1" customHeight="1">
      <c r="R37" s="261"/>
      <c r="S37" s="261"/>
      <c r="T37" s="261"/>
      <c r="U37" s="1059"/>
      <c r="V37" s="246"/>
      <c r="W37" s="246"/>
      <c r="X37" s="203"/>
      <c r="Y37" s="203"/>
      <c r="Z37" s="203"/>
      <c r="AA37" s="203"/>
      <c r="AB37" s="203"/>
      <c r="AC37" s="203"/>
      <c r="AD37" s="203"/>
      <c r="AE37" s="203"/>
      <c r="AF37" s="203"/>
      <c r="AG37" s="203"/>
      <c r="AH37" s="203"/>
      <c r="AI37" s="203"/>
      <c r="AJ37" s="203"/>
      <c r="AK37" s="203"/>
      <c r="AL37" s="203"/>
      <c r="AM37" s="203"/>
      <c r="AN37" s="203"/>
      <c r="AO37" s="203"/>
      <c r="AP37" s="377"/>
    </row>
    <row r="38" spans="1:48" s="1692" customFormat="1" ht="18.75" hidden="1" customHeight="1">
      <c r="A38" s="1025"/>
      <c r="B38" s="1025"/>
      <c r="C38" s="1025"/>
      <c r="D38" s="1025"/>
      <c r="E38" s="1025"/>
      <c r="F38" s="1025"/>
      <c r="G38" s="1025"/>
      <c r="H38" s="1025"/>
      <c r="I38" s="1025"/>
      <c r="J38" s="1025"/>
      <c r="K38" s="1025"/>
      <c r="L38" s="1025"/>
      <c r="M38" s="1160"/>
      <c r="N38" s="1025"/>
      <c r="O38" s="1025"/>
      <c r="P38" s="1025"/>
      <c r="U38" s="2101" t="s">
        <v>351</v>
      </c>
      <c r="V38" s="2101"/>
      <c r="W38" s="1152"/>
      <c r="X38" s="2102" t="e">
        <f>IF(TITLE_DATE_PR_CHANGE="",IF(TITLE_DATE_PR="","",TITLE_DATE_PR),TITLE_DATE_PR_CHANGE)</f>
        <v>#REF!</v>
      </c>
      <c r="Y38" s="2102"/>
      <c r="Z38" s="2102"/>
      <c r="AA38" s="2102"/>
      <c r="AB38" s="2102"/>
      <c r="AC38" s="2102"/>
      <c r="AD38" s="2102"/>
      <c r="AE38" s="2102"/>
      <c r="AF38" s="209"/>
      <c r="AG38" s="2102" t="e">
        <f>IF(TITLE_DATE_PR_CHANGE="",IF(TITLE_DATE_PR="","",TITLE_DATE_PR),TITLE_DATE_PR_CHANGE)</f>
        <v>#REF!</v>
      </c>
      <c r="AH38" s="2102"/>
      <c r="AI38" s="2102"/>
      <c r="AJ38" s="2102"/>
      <c r="AK38" s="2102"/>
      <c r="AL38" s="2102"/>
      <c r="AM38" s="2102"/>
      <c r="AN38" s="2102"/>
      <c r="AO38" s="209"/>
      <c r="AP38" s="209"/>
      <c r="AQ38" s="157"/>
      <c r="AR38" s="252"/>
      <c r="AS38" s="252"/>
      <c r="AT38" s="252"/>
      <c r="AU38" s="252"/>
      <c r="AV38" s="252"/>
    </row>
    <row r="39" spans="1:48" s="1692" customFormat="1" ht="18.75" hidden="1" customHeight="1">
      <c r="A39" s="1025"/>
      <c r="B39" s="1025"/>
      <c r="C39" s="1025"/>
      <c r="D39" s="1025"/>
      <c r="E39" s="1025"/>
      <c r="F39" s="1025"/>
      <c r="G39" s="1025"/>
      <c r="H39" s="1025"/>
      <c r="I39" s="1025"/>
      <c r="J39" s="1025"/>
      <c r="K39" s="1025"/>
      <c r="L39" s="1025"/>
      <c r="M39" s="1160"/>
      <c r="N39" s="1025"/>
      <c r="O39" s="1025"/>
      <c r="P39" s="1025"/>
      <c r="U39" s="2101" t="s">
        <v>352</v>
      </c>
      <c r="V39" s="2101"/>
      <c r="W39" s="1152"/>
      <c r="X39" s="2103" t="e">
        <f>IF(TITLE_NUMBER_PR_CHANGE="",IF(TITLE_NUMBER_PR="","",TITLE_NUMBER_PR),TITLE_NUMBER_PR_CHANGE)</f>
        <v>#REF!</v>
      </c>
      <c r="Y39" s="2103"/>
      <c r="Z39" s="2103"/>
      <c r="AA39" s="2103"/>
      <c r="AB39" s="2103"/>
      <c r="AC39" s="2103"/>
      <c r="AD39" s="2103"/>
      <c r="AE39" s="2103"/>
      <c r="AF39" s="209"/>
      <c r="AG39" s="2103" t="e">
        <f>IF(TITLE_NUMBER_PR_CHANGE="",IF(TITLE_NUMBER_PR="","",TITLE_NUMBER_PR),TITLE_NUMBER_PR_CHANGE)</f>
        <v>#REF!</v>
      </c>
      <c r="AH39" s="2103"/>
      <c r="AI39" s="2103"/>
      <c r="AJ39" s="2103"/>
      <c r="AK39" s="2103"/>
      <c r="AL39" s="2103"/>
      <c r="AM39" s="2103"/>
      <c r="AN39" s="2103"/>
      <c r="AO39" s="209"/>
      <c r="AP39" s="209"/>
      <c r="AQ39" s="157"/>
      <c r="AR39" s="252"/>
      <c r="AS39" s="252"/>
      <c r="AT39" s="252"/>
      <c r="AU39" s="252"/>
      <c r="AV39" s="252"/>
    </row>
    <row r="40" spans="1:48" s="1692" customFormat="1" ht="0" hidden="1" customHeight="1">
      <c r="A40" s="1025"/>
      <c r="B40" s="1025"/>
      <c r="C40" s="1025"/>
      <c r="D40" s="1025"/>
      <c r="E40" s="1025"/>
      <c r="F40" s="1025"/>
      <c r="G40" s="1025"/>
      <c r="H40" s="1025"/>
      <c r="I40" s="1025"/>
      <c r="J40" s="1025"/>
      <c r="K40" s="1025"/>
      <c r="L40" s="1025"/>
      <c r="M40" s="1160"/>
      <c r="N40" s="1025"/>
      <c r="O40" s="1025"/>
      <c r="P40" s="1025"/>
      <c r="U40" s="205"/>
      <c r="V40" s="205"/>
      <c r="W40" s="1121"/>
      <c r="X40" s="209"/>
      <c r="Y40" s="209"/>
      <c r="Z40" s="209"/>
      <c r="AA40" s="209"/>
      <c r="AB40" s="209"/>
      <c r="AC40" s="209"/>
      <c r="AD40" s="209"/>
      <c r="AE40" s="209"/>
      <c r="AF40" s="155" t="s">
        <v>353</v>
      </c>
      <c r="AG40" s="209"/>
      <c r="AH40" s="209"/>
      <c r="AI40" s="209"/>
      <c r="AJ40" s="209"/>
      <c r="AK40" s="209"/>
      <c r="AL40" s="209"/>
      <c r="AM40" s="209"/>
      <c r="AN40" s="209"/>
      <c r="AO40" s="155" t="s">
        <v>353</v>
      </c>
      <c r="AR40" s="252"/>
      <c r="AS40" s="252"/>
      <c r="AT40" s="252"/>
      <c r="AU40" s="252"/>
      <c r="AV40" s="252"/>
    </row>
    <row r="41" spans="1:48" ht="14.25" customHeight="1">
      <c r="R41" s="261"/>
      <c r="S41" s="261"/>
      <c r="T41" s="261"/>
      <c r="U41" s="1059"/>
      <c r="V41" s="246"/>
      <c r="W41" s="1020"/>
      <c r="X41" s="2123"/>
      <c r="Y41" s="2123"/>
      <c r="Z41" s="2123"/>
      <c r="AA41" s="2123"/>
      <c r="AB41" s="2123"/>
      <c r="AC41" s="2123"/>
      <c r="AD41" s="2123"/>
      <c r="AE41" s="2123"/>
      <c r="AF41" s="2123"/>
      <c r="AG41" s="2123"/>
      <c r="AH41" s="2123"/>
      <c r="AI41" s="2123"/>
      <c r="AJ41" s="2123"/>
      <c r="AK41" s="2123"/>
      <c r="AL41" s="2123"/>
      <c r="AM41" s="2123"/>
      <c r="AN41" s="2123"/>
      <c r="AO41" s="2123"/>
    </row>
    <row r="42" spans="1:48" ht="14.25" customHeight="1">
      <c r="R42" s="261"/>
      <c r="S42" s="261"/>
      <c r="T42" s="261"/>
      <c r="U42" s="2025" t="s">
        <v>224</v>
      </c>
      <c r="V42" s="2025"/>
      <c r="W42" s="2025"/>
      <c r="X42" s="2025"/>
      <c r="Y42" s="2025"/>
      <c r="Z42" s="2025"/>
      <c r="AA42" s="2025"/>
      <c r="AB42" s="2025"/>
      <c r="AC42" s="2025"/>
      <c r="AD42" s="2025"/>
      <c r="AE42" s="2025"/>
      <c r="AF42" s="2025"/>
      <c r="AG42" s="2025"/>
      <c r="AH42" s="2025"/>
      <c r="AI42" s="2025"/>
      <c r="AJ42" s="2025"/>
      <c r="AK42" s="2025"/>
      <c r="AL42" s="2025"/>
      <c r="AM42" s="2025"/>
      <c r="AN42" s="2025"/>
      <c r="AO42" s="2025"/>
      <c r="AP42" s="2025"/>
      <c r="AQ42" s="2025" t="s">
        <v>225</v>
      </c>
    </row>
    <row r="43" spans="1:48" ht="14.25" customHeight="1">
      <c r="R43" s="261"/>
      <c r="S43" s="261"/>
      <c r="T43" s="261"/>
      <c r="U43" s="2124" t="s">
        <v>22</v>
      </c>
      <c r="V43" s="2068" t="s">
        <v>354</v>
      </c>
      <c r="W43" s="176"/>
      <c r="X43" s="2125" t="s">
        <v>355</v>
      </c>
      <c r="Y43" s="2139"/>
      <c r="Z43" s="2139"/>
      <c r="AA43" s="2139"/>
      <c r="AB43" s="2139"/>
      <c r="AC43" s="2126"/>
      <c r="AD43" s="2126"/>
      <c r="AE43" s="2127"/>
      <c r="AF43" s="2128" t="s">
        <v>356</v>
      </c>
      <c r="AG43" s="2125" t="s">
        <v>355</v>
      </c>
      <c r="AH43" s="2139"/>
      <c r="AI43" s="2139"/>
      <c r="AJ43" s="2139"/>
      <c r="AK43" s="2139"/>
      <c r="AL43" s="2126"/>
      <c r="AM43" s="2126"/>
      <c r="AN43" s="2127"/>
      <c r="AO43" s="2128" t="s">
        <v>357</v>
      </c>
      <c r="AP43" s="2131" t="s">
        <v>358</v>
      </c>
      <c r="AQ43" s="2025"/>
    </row>
    <row r="44" spans="1:48" ht="33.75" customHeight="1">
      <c r="R44" s="261"/>
      <c r="S44" s="261"/>
      <c r="T44" s="261"/>
      <c r="U44" s="2124"/>
      <c r="V44" s="2068"/>
      <c r="W44" s="814"/>
      <c r="X44" s="2037" t="s">
        <v>380</v>
      </c>
      <c r="Y44" s="2025" t="s">
        <v>381</v>
      </c>
      <c r="Z44" s="2025"/>
      <c r="AA44" s="2025"/>
      <c r="AB44" s="2025"/>
      <c r="AC44" s="2037" t="s">
        <v>362</v>
      </c>
      <c r="AD44" s="2144"/>
      <c r="AE44" s="2038"/>
      <c r="AF44" s="2129"/>
      <c r="AG44" s="2037" t="s">
        <v>380</v>
      </c>
      <c r="AH44" s="2025" t="s">
        <v>381</v>
      </c>
      <c r="AI44" s="2025"/>
      <c r="AJ44" s="2025"/>
      <c r="AK44" s="2025"/>
      <c r="AL44" s="2037" t="s">
        <v>362</v>
      </c>
      <c r="AM44" s="2144"/>
      <c r="AN44" s="2038"/>
      <c r="AO44" s="2129"/>
      <c r="AP44" s="2132"/>
      <c r="AQ44" s="2025"/>
    </row>
    <row r="45" spans="1:48" ht="14.25" customHeight="1">
      <c r="R45" s="261"/>
      <c r="S45" s="261"/>
      <c r="T45" s="261"/>
      <c r="U45" s="2124"/>
      <c r="V45" s="2068"/>
      <c r="W45" s="814"/>
      <c r="X45" s="2039"/>
      <c r="Y45" s="2074" t="s">
        <v>382</v>
      </c>
      <c r="Z45" s="2073" t="s">
        <v>383</v>
      </c>
      <c r="AA45" s="2086"/>
      <c r="AB45" s="2087"/>
      <c r="AC45" s="2042"/>
      <c r="AD45" s="2145"/>
      <c r="AE45" s="2043"/>
      <c r="AF45" s="2129"/>
      <c r="AG45" s="2039"/>
      <c r="AH45" s="2074" t="s">
        <v>382</v>
      </c>
      <c r="AI45" s="2073" t="s">
        <v>383</v>
      </c>
      <c r="AJ45" s="2086"/>
      <c r="AK45" s="2087"/>
      <c r="AL45" s="2042"/>
      <c r="AM45" s="2145"/>
      <c r="AN45" s="2043"/>
      <c r="AO45" s="2129"/>
      <c r="AP45" s="2132"/>
      <c r="AQ45" s="2025"/>
    </row>
    <row r="46" spans="1:48" ht="25.5" customHeight="1">
      <c r="R46" s="261"/>
      <c r="S46" s="261"/>
      <c r="T46" s="261"/>
      <c r="U46" s="2124"/>
      <c r="V46" s="2068"/>
      <c r="W46" s="814"/>
      <c r="X46" s="2039"/>
      <c r="Y46" s="2143"/>
      <c r="Z46" s="2074" t="s">
        <v>384</v>
      </c>
      <c r="AA46" s="2073" t="s">
        <v>385</v>
      </c>
      <c r="AB46" s="2087"/>
      <c r="AC46" s="2074" t="s">
        <v>372</v>
      </c>
      <c r="AD46" s="2078" t="s">
        <v>373</v>
      </c>
      <c r="AE46" s="2076"/>
      <c r="AF46" s="2129"/>
      <c r="AG46" s="2039"/>
      <c r="AH46" s="2143"/>
      <c r="AI46" s="2074" t="s">
        <v>384</v>
      </c>
      <c r="AJ46" s="2073" t="s">
        <v>385</v>
      </c>
      <c r="AK46" s="2087"/>
      <c r="AL46" s="2074" t="s">
        <v>372</v>
      </c>
      <c r="AM46" s="2078" t="s">
        <v>373</v>
      </c>
      <c r="AN46" s="2076"/>
      <c r="AO46" s="2129"/>
      <c r="AP46" s="2132"/>
      <c r="AQ46" s="2025"/>
    </row>
    <row r="47" spans="1:48" ht="62.25" customHeight="1">
      <c r="A47" s="1046"/>
      <c r="B47" s="1046" t="s">
        <v>73</v>
      </c>
      <c r="C47" s="1046" t="s">
        <v>74</v>
      </c>
      <c r="D47" s="1046" t="s">
        <v>75</v>
      </c>
      <c r="E47" s="1092" t="s">
        <v>363</v>
      </c>
      <c r="F47" s="1092" t="s">
        <v>364</v>
      </c>
      <c r="G47" s="1092" t="s">
        <v>365</v>
      </c>
      <c r="H47" s="1092" t="s">
        <v>366</v>
      </c>
      <c r="I47" s="1092" t="s">
        <v>367</v>
      </c>
      <c r="J47" s="1092" t="s">
        <v>368</v>
      </c>
      <c r="K47" s="1092" t="s">
        <v>369</v>
      </c>
      <c r="L47" s="1092" t="s">
        <v>386</v>
      </c>
      <c r="M47" s="1092" t="s">
        <v>344</v>
      </c>
      <c r="R47" s="261"/>
      <c r="S47" s="261"/>
      <c r="T47" s="261"/>
      <c r="U47" s="2124"/>
      <c r="V47" s="2068"/>
      <c r="W47" s="177"/>
      <c r="X47" s="2042"/>
      <c r="Y47" s="2075"/>
      <c r="Z47" s="2075"/>
      <c r="AA47" s="995" t="s">
        <v>387</v>
      </c>
      <c r="AB47" s="995" t="s">
        <v>388</v>
      </c>
      <c r="AC47" s="2075"/>
      <c r="AD47" s="2079"/>
      <c r="AE47" s="2077"/>
      <c r="AF47" s="2130"/>
      <c r="AG47" s="2042"/>
      <c r="AH47" s="2075"/>
      <c r="AI47" s="2075"/>
      <c r="AJ47" s="995" t="s">
        <v>387</v>
      </c>
      <c r="AK47" s="995" t="s">
        <v>388</v>
      </c>
      <c r="AL47" s="2075"/>
      <c r="AM47" s="2079"/>
      <c r="AN47" s="2077"/>
      <c r="AO47" s="2130"/>
      <c r="AP47" s="2133"/>
      <c r="AQ47" s="2025"/>
    </row>
    <row r="48" spans="1:48" s="1621" customFormat="1" ht="11.25" hidden="1" customHeight="1">
      <c r="A48" s="1046"/>
      <c r="B48" s="1046"/>
      <c r="C48" s="1046"/>
      <c r="D48" s="1046"/>
      <c r="E48" s="1046"/>
      <c r="F48" s="1046"/>
      <c r="G48" s="1046"/>
      <c r="H48" s="1046"/>
      <c r="I48" s="1046"/>
      <c r="J48" s="1046"/>
      <c r="K48" s="1046"/>
      <c r="L48" s="1046"/>
      <c r="M48" s="1092"/>
      <c r="N48" s="1109"/>
      <c r="O48" s="1109"/>
      <c r="P48" s="1109"/>
      <c r="Q48" s="1022"/>
      <c r="R48" s="1023"/>
      <c r="S48" s="1038">
        <v>1</v>
      </c>
      <c r="T48" s="1038"/>
      <c r="U48" s="1061" t="s">
        <v>43</v>
      </c>
      <c r="V48" s="1039" t="s">
        <v>44</v>
      </c>
      <c r="W48" s="1021" t="str">
        <f ca="1">OFFSET(W48,0,-1)</f>
        <v>2</v>
      </c>
      <c r="X48" s="1116">
        <f ca="1">OFFSET(X48,0,-1)+1</f>
        <v>3</v>
      </c>
      <c r="Y48" s="1122"/>
      <c r="Z48" s="1122"/>
      <c r="AA48" s="1122">
        <f ca="1">OFFSET(AA48,0,-1)+1</f>
        <v>1</v>
      </c>
      <c r="AB48" s="1122">
        <f ca="1">OFFSET(AB48,0,-1)+1</f>
        <v>2</v>
      </c>
      <c r="AC48" s="1116">
        <f ca="1">OFFSET(AC48,0,-1)+1</f>
        <v>3</v>
      </c>
      <c r="AD48" s="2122">
        <f ca="1">OFFSET(AD48,0,-1)+1</f>
        <v>4</v>
      </c>
      <c r="AE48" s="2122"/>
      <c r="AF48" s="1116">
        <f ca="1">OFFSET(AF48,0,-2)+1</f>
        <v>5</v>
      </c>
      <c r="AG48" s="1116">
        <f ca="1">OFFSET(AG48,0,-1)+1</f>
        <v>6</v>
      </c>
      <c r="AH48" s="1116"/>
      <c r="AI48" s="1116"/>
      <c r="AJ48" s="1116">
        <f ca="1">OFFSET(AJ48,0,-1)+1</f>
        <v>1</v>
      </c>
      <c r="AK48" s="1116">
        <f ca="1">OFFSET(AK48,0,-1)+1</f>
        <v>2</v>
      </c>
      <c r="AL48" s="1116">
        <f ca="1">OFFSET(AL48,0,-1)+1</f>
        <v>3</v>
      </c>
      <c r="AM48" s="2122">
        <f ca="1">OFFSET(AM48,0,-1)+1</f>
        <v>4</v>
      </c>
      <c r="AN48" s="2122"/>
      <c r="AO48" s="1116">
        <f ca="1">OFFSET(AO48,0,-2)+1</f>
        <v>5</v>
      </c>
      <c r="AP48" s="1021">
        <f ca="1">OFFSET(AP48,0,-1)</f>
        <v>5</v>
      </c>
      <c r="AQ48" s="1116">
        <f ca="1">OFFSET(AQ48,0,-1)+1</f>
        <v>6</v>
      </c>
      <c r="AR48" s="379"/>
      <c r="AS48" s="379"/>
      <c r="AT48" s="379"/>
      <c r="AU48" s="379"/>
      <c r="AV48" s="379"/>
    </row>
    <row r="49" spans="1:48" ht="21" customHeight="1">
      <c r="A49" s="1050" t="s">
        <v>112</v>
      </c>
      <c r="B49" s="1050"/>
      <c r="C49" s="1050"/>
      <c r="D49" s="1050"/>
      <c r="E49" s="2146">
        <v>1</v>
      </c>
      <c r="F49" s="1050"/>
      <c r="G49" s="1050"/>
      <c r="H49" s="1050"/>
      <c r="I49" s="1050"/>
      <c r="J49" s="1050"/>
      <c r="K49" s="1050"/>
      <c r="L49" s="1050"/>
      <c r="M49" s="1092"/>
      <c r="N49" s="523"/>
      <c r="O49" s="523"/>
      <c r="P49" s="523"/>
      <c r="Q49" s="242"/>
      <c r="R49" s="241"/>
      <c r="S49" s="241"/>
      <c r="T49" s="236"/>
      <c r="U49" s="1117">
        <f>INDEX(PT_DIFFERENTIATION_NUM_NTAR,MATCH(A49,PT_DIFFERENTIATION_NTAR_ID,0))</f>
        <v>0</v>
      </c>
      <c r="V49" s="173" t="s">
        <v>61</v>
      </c>
      <c r="W49" s="175"/>
      <c r="X49" s="2104"/>
      <c r="Y49" s="2105"/>
      <c r="Z49" s="2105"/>
      <c r="AA49" s="2105"/>
      <c r="AB49" s="2105"/>
      <c r="AC49" s="2105"/>
      <c r="AD49" s="2105"/>
      <c r="AE49" s="2105"/>
      <c r="AF49" s="2106"/>
      <c r="AG49" s="2104" t="str">
        <f>INDEX(PT_DIFFERENTIATION_NTAR,MATCH(A49,PT_DIFFERENTIATION_NTAR_ID,0))</f>
        <v/>
      </c>
      <c r="AH49" s="2105"/>
      <c r="AI49" s="2105"/>
      <c r="AJ49" s="2105"/>
      <c r="AK49" s="2105"/>
      <c r="AL49" s="2105"/>
      <c r="AM49" s="2105"/>
      <c r="AN49" s="2105"/>
      <c r="AO49" s="2105"/>
      <c r="AP49" s="2106"/>
      <c r="AQ49" s="104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368"/>
      <c r="AT49" s="368" t="str">
        <f t="shared" ref="AT49:AT65" si="2">IF(V49="","",V49)</f>
        <v>Наименование тарифа</v>
      </c>
      <c r="AU49" s="368"/>
      <c r="AV49" s="368"/>
    </row>
    <row r="50" spans="1:48" ht="21" customHeight="1">
      <c r="A50" s="1050" t="s">
        <v>112</v>
      </c>
      <c r="B50" s="1050" t="s">
        <v>113</v>
      </c>
      <c r="C50" s="1050"/>
      <c r="D50" s="1050"/>
      <c r="E50" s="2147"/>
      <c r="F50" s="2146">
        <v>1</v>
      </c>
      <c r="G50" s="1050"/>
      <c r="H50" s="1050"/>
      <c r="I50" s="1050"/>
      <c r="J50" s="1050"/>
      <c r="K50" s="1050"/>
      <c r="L50" s="1050"/>
      <c r="M50" s="1092"/>
      <c r="N50" s="523"/>
      <c r="O50" s="523"/>
      <c r="P50" s="523"/>
      <c r="Q50" s="1113"/>
      <c r="R50" s="233"/>
      <c r="S50" s="377"/>
      <c r="T50" s="234"/>
      <c r="U50" s="1117" t="str">
        <f>INDEX(PT_DIFFERENTIATION_NUM_TER,MATCH(B50,PT_DIFFERENTIATION_TER_ID,0))</f>
        <v>.</v>
      </c>
      <c r="V50" s="185" t="s">
        <v>323</v>
      </c>
      <c r="W50" s="175"/>
      <c r="X50" s="2104"/>
      <c r="Y50" s="2105"/>
      <c r="Z50" s="2105"/>
      <c r="AA50" s="2105"/>
      <c r="AB50" s="2105"/>
      <c r="AC50" s="2105"/>
      <c r="AD50" s="2105"/>
      <c r="AE50" s="2105"/>
      <c r="AF50" s="2106"/>
      <c r="AG50" s="2104" t="str">
        <f>INDEX(PT_DIFFERENTIATION_TER,MATCH(B50,PT_DIFFERENTIATION_TER_ID,0))</f>
        <v/>
      </c>
      <c r="AH50" s="2105"/>
      <c r="AI50" s="2105"/>
      <c r="AJ50" s="2105"/>
      <c r="AK50" s="2105"/>
      <c r="AL50" s="2105"/>
      <c r="AM50" s="2105"/>
      <c r="AN50" s="2105"/>
      <c r="AO50" s="2105"/>
      <c r="AP50" s="2106"/>
      <c r="AQ50" s="1044" t="s">
        <v>324</v>
      </c>
      <c r="AS50" s="368"/>
      <c r="AT50" s="368" t="str">
        <f t="shared" si="2"/>
        <v>Территория действия тарифа</v>
      </c>
      <c r="AU50" s="368"/>
      <c r="AV50" s="368"/>
    </row>
    <row r="51" spans="1:48" ht="22.5" customHeight="1">
      <c r="A51" s="1050" t="s">
        <v>112</v>
      </c>
      <c r="B51" s="1050" t="s">
        <v>113</v>
      </c>
      <c r="C51" s="1050" t="s">
        <v>114</v>
      </c>
      <c r="D51" s="1050"/>
      <c r="E51" s="2147"/>
      <c r="F51" s="2147"/>
      <c r="G51" s="2146">
        <v>1</v>
      </c>
      <c r="H51" s="1050"/>
      <c r="I51" s="1050"/>
      <c r="J51" s="1050"/>
      <c r="K51" s="1050"/>
      <c r="L51" s="1050"/>
      <c r="M51" s="1092"/>
      <c r="N51" s="523"/>
      <c r="O51" s="523"/>
      <c r="P51" s="523"/>
      <c r="Q51" s="235"/>
      <c r="R51" s="233"/>
      <c r="S51" s="377"/>
      <c r="T51" s="234"/>
      <c r="U51" s="1117" t="str">
        <f>INDEX(PT_DIFFERENTIATION_NUM_CS,MATCH(C51,PT_DIFFERENTIATION_CS_ID,0))</f>
        <v>..</v>
      </c>
      <c r="V51" s="186" t="s">
        <v>325</v>
      </c>
      <c r="W51" s="175"/>
      <c r="X51" s="2104"/>
      <c r="Y51" s="2105"/>
      <c r="Z51" s="2105"/>
      <c r="AA51" s="2105"/>
      <c r="AB51" s="2105"/>
      <c r="AC51" s="2105"/>
      <c r="AD51" s="2105"/>
      <c r="AE51" s="2105"/>
      <c r="AF51" s="2106"/>
      <c r="AG51" s="2104" t="str">
        <f>INDEX(PT_DIFFERENTIATION_CS,MATCH(C51,PT_DIFFERENTIATION_CS_ID,0))</f>
        <v/>
      </c>
      <c r="AH51" s="2105"/>
      <c r="AI51" s="2105"/>
      <c r="AJ51" s="2105"/>
      <c r="AK51" s="2105"/>
      <c r="AL51" s="2105"/>
      <c r="AM51" s="2105"/>
      <c r="AN51" s="2105"/>
      <c r="AO51" s="2105"/>
      <c r="AP51" s="2106"/>
      <c r="AQ51" s="1044" t="s">
        <v>326</v>
      </c>
      <c r="AS51" s="368"/>
      <c r="AT51" s="368" t="str">
        <f t="shared" si="2"/>
        <v xml:space="preserve">Наименование системы теплоснабжения </v>
      </c>
      <c r="AU51" s="368"/>
      <c r="AV51" s="368"/>
    </row>
    <row r="52" spans="1:48" ht="21" customHeight="1">
      <c r="A52" s="1050" t="s">
        <v>112</v>
      </c>
      <c r="B52" s="1050" t="s">
        <v>113</v>
      </c>
      <c r="C52" s="1050" t="s">
        <v>114</v>
      </c>
      <c r="D52" s="1050" t="s">
        <v>115</v>
      </c>
      <c r="E52" s="2147"/>
      <c r="F52" s="2147"/>
      <c r="G52" s="2147"/>
      <c r="H52" s="2146">
        <v>1</v>
      </c>
      <c r="I52" s="1050"/>
      <c r="J52" s="1050"/>
      <c r="K52" s="1050"/>
      <c r="L52" s="1050"/>
      <c r="M52" s="1092"/>
      <c r="N52" s="523"/>
      <c r="O52" s="523"/>
      <c r="P52" s="523"/>
      <c r="Q52" s="235"/>
      <c r="R52" s="233"/>
      <c r="S52" s="377"/>
      <c r="T52" s="234"/>
      <c r="U52" s="1117" t="str">
        <f>INDEX(PT_DIFFERENTIATION_NUM_IST_TE,MATCH(D52,PT_DIFFERENTIATION_IST_TE_ID,0))</f>
        <v>...</v>
      </c>
      <c r="V52" s="187" t="s">
        <v>327</v>
      </c>
      <c r="W52" s="175"/>
      <c r="X52" s="2104"/>
      <c r="Y52" s="2105"/>
      <c r="Z52" s="2105"/>
      <c r="AA52" s="2105"/>
      <c r="AB52" s="2105"/>
      <c r="AC52" s="2105"/>
      <c r="AD52" s="2105"/>
      <c r="AE52" s="2105"/>
      <c r="AF52" s="2106"/>
      <c r="AG52" s="2104" t="str">
        <f>INDEX(PT_DIFFERENTIATION_IST_TE,MATCH(D52,PT_DIFFERENTIATION_IST_TE_ID,0))</f>
        <v/>
      </c>
      <c r="AH52" s="2105"/>
      <c r="AI52" s="2105"/>
      <c r="AJ52" s="2105"/>
      <c r="AK52" s="2105"/>
      <c r="AL52" s="2105"/>
      <c r="AM52" s="2105"/>
      <c r="AN52" s="2105"/>
      <c r="AO52" s="2105"/>
      <c r="AP52" s="2106"/>
      <c r="AQ52" s="1044" t="s">
        <v>328</v>
      </c>
      <c r="AS52" s="368"/>
      <c r="AT52" s="368" t="str">
        <f t="shared" si="2"/>
        <v xml:space="preserve">Источник тепловой энергии  </v>
      </c>
      <c r="AU52" s="368"/>
      <c r="AV52" s="368"/>
    </row>
    <row r="53" spans="1:48" s="1622" customFormat="1" ht="0" hidden="1" customHeight="1">
      <c r="A53" s="1155" t="s">
        <v>112</v>
      </c>
      <c r="B53" s="1155" t="s">
        <v>113</v>
      </c>
      <c r="C53" s="1155" t="s">
        <v>114</v>
      </c>
      <c r="D53" s="1155" t="s">
        <v>115</v>
      </c>
      <c r="E53" s="2147"/>
      <c r="F53" s="2147"/>
      <c r="G53" s="2147"/>
      <c r="H53" s="2147"/>
      <c r="I53" s="2025" t="str">
        <f>U52&amp;".1"</f>
        <v>....1</v>
      </c>
      <c r="J53" s="1155"/>
      <c r="K53" s="1155"/>
      <c r="L53" s="1155"/>
      <c r="M53" s="1161" t="s">
        <v>329</v>
      </c>
      <c r="N53" s="1022"/>
      <c r="O53" s="1022"/>
      <c r="P53" s="1022"/>
      <c r="Q53" s="2115">
        <v>1</v>
      </c>
      <c r="R53" s="1112"/>
      <c r="S53" s="1112"/>
      <c r="T53" s="237"/>
      <c r="U53" s="825"/>
      <c r="V53" s="1163"/>
      <c r="W53" s="1164"/>
      <c r="X53" s="2140"/>
      <c r="Y53" s="2141"/>
      <c r="Z53" s="2141"/>
      <c r="AA53" s="2141"/>
      <c r="AB53" s="2141"/>
      <c r="AC53" s="2141"/>
      <c r="AD53" s="2141"/>
      <c r="AE53" s="2141"/>
      <c r="AF53" s="2142"/>
      <c r="AG53" s="2140"/>
      <c r="AH53" s="2141"/>
      <c r="AI53" s="2141"/>
      <c r="AJ53" s="2141"/>
      <c r="AK53" s="2141"/>
      <c r="AL53" s="2141"/>
      <c r="AM53" s="2141"/>
      <c r="AN53" s="2141"/>
      <c r="AO53" s="2141"/>
      <c r="AP53" s="2142"/>
      <c r="AQ53" s="1165"/>
      <c r="AS53" s="368"/>
      <c r="AT53" s="368" t="str">
        <f t="shared" si="2"/>
        <v/>
      </c>
      <c r="AU53" s="368"/>
      <c r="AV53" s="368"/>
    </row>
    <row r="54" spans="1:48" ht="21" customHeight="1">
      <c r="A54" s="1050" t="s">
        <v>112</v>
      </c>
      <c r="B54" s="1050" t="s">
        <v>113</v>
      </c>
      <c r="C54" s="1050" t="s">
        <v>114</v>
      </c>
      <c r="D54" s="1050" t="s">
        <v>115</v>
      </c>
      <c r="E54" s="2147"/>
      <c r="F54" s="2147"/>
      <c r="G54" s="2147"/>
      <c r="H54" s="2147"/>
      <c r="I54" s="1956"/>
      <c r="J54" s="2025" t="str">
        <f>I53&amp;".1"</f>
        <v>....1.1</v>
      </c>
      <c r="K54" s="1050"/>
      <c r="L54" s="1050"/>
      <c r="M54" s="1092" t="s">
        <v>332</v>
      </c>
      <c r="Q54" s="2115"/>
      <c r="R54" s="2115">
        <v>1</v>
      </c>
      <c r="S54" s="386"/>
      <c r="T54" s="238"/>
      <c r="U54" s="1117" t="str">
        <f>$J54</f>
        <v>....1.1</v>
      </c>
      <c r="V54" s="162" t="s">
        <v>333</v>
      </c>
      <c r="W54" s="175"/>
      <c r="X54" s="2098"/>
      <c r="Y54" s="2099"/>
      <c r="Z54" s="2099"/>
      <c r="AA54" s="2099"/>
      <c r="AB54" s="2099"/>
      <c r="AC54" s="2091"/>
      <c r="AD54" s="2091"/>
      <c r="AE54" s="2091"/>
      <c r="AF54" s="2148"/>
      <c r="AG54" s="2098"/>
      <c r="AH54" s="2099"/>
      <c r="AI54" s="2099"/>
      <c r="AJ54" s="2099"/>
      <c r="AK54" s="2099"/>
      <c r="AL54" s="2099"/>
      <c r="AM54" s="2099"/>
      <c r="AN54" s="2099"/>
      <c r="AO54" s="2099"/>
      <c r="AP54" s="2100"/>
      <c r="AQ54" s="1044" t="s">
        <v>334</v>
      </c>
      <c r="AS54" s="368"/>
      <c r="AT54" s="368" t="str">
        <f t="shared" si="2"/>
        <v>Группа потребителей</v>
      </c>
      <c r="AU54" s="368"/>
      <c r="AV54" s="368"/>
    </row>
    <row r="55" spans="1:48" ht="21" customHeight="1">
      <c r="A55" s="1050" t="s">
        <v>112</v>
      </c>
      <c r="B55" s="1050" t="s">
        <v>113</v>
      </c>
      <c r="C55" s="1050" t="s">
        <v>114</v>
      </c>
      <c r="D55" s="1050" t="s">
        <v>115</v>
      </c>
      <c r="E55" s="2147"/>
      <c r="F55" s="2147"/>
      <c r="G55" s="2147"/>
      <c r="H55" s="2147"/>
      <c r="I55" s="1956"/>
      <c r="J55" s="1956"/>
      <c r="K55" s="2025" t="str">
        <f>J54&amp;".1"</f>
        <v>....1.1.1</v>
      </c>
      <c r="L55" s="47"/>
      <c r="M55" s="1092" t="s">
        <v>335</v>
      </c>
      <c r="Q55" s="2115"/>
      <c r="R55" s="2115"/>
      <c r="S55" s="386">
        <v>1</v>
      </c>
      <c r="T55" s="238"/>
      <c r="U55" s="1117" t="str">
        <f>$K55</f>
        <v>....1.1.1</v>
      </c>
      <c r="V55" s="1128"/>
      <c r="W55" s="175"/>
      <c r="X55" s="576"/>
      <c r="Y55" s="576"/>
      <c r="Z55" s="576"/>
      <c r="AA55" s="576"/>
      <c r="AB55" s="1185"/>
      <c r="AC55" s="2116"/>
      <c r="AD55" s="2109" t="s">
        <v>16</v>
      </c>
      <c r="AE55" s="2116"/>
      <c r="AF55" s="2109" t="s">
        <v>16</v>
      </c>
      <c r="AG55" s="1187"/>
      <c r="AH55" s="576"/>
      <c r="AI55" s="576"/>
      <c r="AJ55" s="576"/>
      <c r="AK55" s="1043"/>
      <c r="AL55" s="2116"/>
      <c r="AM55" s="2109" t="s">
        <v>16</v>
      </c>
      <c r="AN55" s="2116"/>
      <c r="AO55" s="2109" t="s">
        <v>16</v>
      </c>
      <c r="AP55" s="1129"/>
      <c r="AQ55" s="1090" t="s">
        <v>377</v>
      </c>
      <c r="AR55" s="379" t="e">
        <f ca="1">STRCHECKDATE(X57:AP57)</f>
        <v>#NAME?</v>
      </c>
      <c r="AS55" s="368"/>
      <c r="AT55" s="368" t="str">
        <f t="shared" si="2"/>
        <v/>
      </c>
      <c r="AU55" s="368"/>
      <c r="AV55" s="368"/>
    </row>
    <row r="56" spans="1:48" ht="11.25" customHeight="1">
      <c r="A56" s="1050" t="s">
        <v>112</v>
      </c>
      <c r="B56" s="1050" t="s">
        <v>113</v>
      </c>
      <c r="C56" s="1050" t="s">
        <v>114</v>
      </c>
      <c r="D56" s="1050" t="s">
        <v>115</v>
      </c>
      <c r="E56" s="2147"/>
      <c r="F56" s="2147"/>
      <c r="G56" s="2147"/>
      <c r="H56" s="2147"/>
      <c r="I56" s="1956"/>
      <c r="J56" s="1956"/>
      <c r="K56" s="1956"/>
      <c r="L56" s="2025" t="str">
        <f>K55&amp;".1"</f>
        <v>....1.1.1.1</v>
      </c>
      <c r="M56" s="1092"/>
      <c r="Q56" s="2115"/>
      <c r="R56" s="2115"/>
      <c r="S56" s="386">
        <v>1</v>
      </c>
      <c r="T56" s="238"/>
      <c r="U56" s="1117" t="str">
        <f>$L56</f>
        <v>....1.1.1.1</v>
      </c>
      <c r="V56" s="1171"/>
      <c r="W56" s="175"/>
      <c r="X56" s="207"/>
      <c r="Y56" s="576"/>
      <c r="Z56" s="576"/>
      <c r="AA56" s="576"/>
      <c r="AB56" s="1185"/>
      <c r="AC56" s="2117"/>
      <c r="AD56" s="2109"/>
      <c r="AE56" s="2117"/>
      <c r="AF56" s="2109"/>
      <c r="AG56" s="1187"/>
      <c r="AH56" s="576"/>
      <c r="AI56" s="576"/>
      <c r="AJ56" s="576"/>
      <c r="AK56" s="1043"/>
      <c r="AL56" s="2117"/>
      <c r="AM56" s="2109"/>
      <c r="AN56" s="2117"/>
      <c r="AO56" s="2109"/>
      <c r="AP56" s="1129"/>
      <c r="AQ56" s="2134" t="s">
        <v>378</v>
      </c>
      <c r="AR56" s="379" t="e">
        <f ca="1">STRCHECKDATE(X58:AP58)</f>
        <v>#NAME?</v>
      </c>
      <c r="AS56" s="368"/>
      <c r="AT56" s="368" t="str">
        <f t="shared" si="2"/>
        <v/>
      </c>
      <c r="AU56" s="368"/>
      <c r="AV56" s="368"/>
    </row>
    <row r="57" spans="1:48" ht="0" hidden="1" customHeight="1">
      <c r="A57" s="1050" t="s">
        <v>112</v>
      </c>
      <c r="B57" s="1050" t="s">
        <v>113</v>
      </c>
      <c r="C57" s="1050" t="s">
        <v>114</v>
      </c>
      <c r="D57" s="1050" t="s">
        <v>115</v>
      </c>
      <c r="E57" s="2147"/>
      <c r="F57" s="2147"/>
      <c r="G57" s="2147"/>
      <c r="H57" s="2147"/>
      <c r="I57" s="1956"/>
      <c r="J57" s="1956"/>
      <c r="K57" s="1956"/>
      <c r="L57" s="2025"/>
      <c r="M57" s="1092"/>
      <c r="Q57" s="2115"/>
      <c r="R57" s="2115"/>
      <c r="S57" s="386"/>
      <c r="T57" s="238"/>
      <c r="U57" s="1123"/>
      <c r="V57" s="175"/>
      <c r="W57" s="175"/>
      <c r="X57" s="207"/>
      <c r="Y57" s="207"/>
      <c r="Z57" s="207"/>
      <c r="AA57" s="207"/>
      <c r="AB57" s="1186" t="str">
        <f>AC55&amp;"-"&amp;AE55</f>
        <v>-</v>
      </c>
      <c r="AC57" s="2117"/>
      <c r="AD57" s="2109"/>
      <c r="AE57" s="2117"/>
      <c r="AF57" s="2109"/>
      <c r="AG57" s="1162"/>
      <c r="AH57" s="207"/>
      <c r="AI57" s="207"/>
      <c r="AJ57" s="207"/>
      <c r="AK57" s="211" t="str">
        <f>AL55&amp;"-"&amp;AN55</f>
        <v>-</v>
      </c>
      <c r="AL57" s="2117"/>
      <c r="AM57" s="2109"/>
      <c r="AN57" s="2117"/>
      <c r="AO57" s="2109"/>
      <c r="AP57" s="1130"/>
      <c r="AQ57" s="2135"/>
      <c r="AS57" s="368"/>
      <c r="AT57" s="368" t="str">
        <f t="shared" si="2"/>
        <v/>
      </c>
      <c r="AU57" s="368"/>
      <c r="AV57" s="368"/>
    </row>
    <row r="58" spans="1:48" ht="11.25" customHeight="1">
      <c r="A58" s="1050" t="s">
        <v>112</v>
      </c>
      <c r="B58" s="1050" t="s">
        <v>113</v>
      </c>
      <c r="C58" s="1050" t="s">
        <v>114</v>
      </c>
      <c r="D58" s="1050" t="s">
        <v>115</v>
      </c>
      <c r="E58" s="2147"/>
      <c r="F58" s="2147"/>
      <c r="G58" s="2147"/>
      <c r="H58" s="2147"/>
      <c r="I58" s="1956"/>
      <c r="J58" s="1956"/>
      <c r="K58" s="2025"/>
      <c r="L58" s="1050"/>
      <c r="M58" s="1092"/>
      <c r="Q58" s="2115"/>
      <c r="R58" s="2115"/>
      <c r="S58" s="1112"/>
      <c r="T58" s="237"/>
      <c r="U58" s="1062"/>
      <c r="V58" s="164" t="s">
        <v>379</v>
      </c>
      <c r="W58" s="251"/>
      <c r="X58" s="251"/>
      <c r="Y58" s="251"/>
      <c r="Z58" s="251"/>
      <c r="AA58" s="251"/>
      <c r="AB58" s="251"/>
      <c r="AC58" s="2117"/>
      <c r="AD58" s="2109"/>
      <c r="AE58" s="2117"/>
      <c r="AF58" s="2109"/>
      <c r="AG58" s="251"/>
      <c r="AH58" s="251"/>
      <c r="AI58" s="251"/>
      <c r="AJ58" s="251"/>
      <c r="AK58" s="251"/>
      <c r="AL58" s="2117"/>
      <c r="AM58" s="2109"/>
      <c r="AN58" s="2117"/>
      <c r="AO58" s="2109"/>
      <c r="AP58" s="206"/>
      <c r="AQ58" s="2135"/>
      <c r="AS58" s="368"/>
      <c r="AT58" s="368" t="str">
        <f t="shared" si="2"/>
        <v>Добавить наименование поставщика</v>
      </c>
      <c r="AU58" s="368"/>
      <c r="AV58" s="368"/>
    </row>
    <row r="59" spans="1:48" ht="11.25" customHeight="1">
      <c r="A59" s="1050" t="s">
        <v>112</v>
      </c>
      <c r="B59" s="1050" t="s">
        <v>113</v>
      </c>
      <c r="C59" s="1050" t="s">
        <v>114</v>
      </c>
      <c r="D59" s="1050" t="s">
        <v>115</v>
      </c>
      <c r="E59" s="2147"/>
      <c r="F59" s="2147"/>
      <c r="G59" s="2147"/>
      <c r="H59" s="2147"/>
      <c r="I59" s="1956"/>
      <c r="J59" s="2025"/>
      <c r="K59" s="1050"/>
      <c r="L59" s="1050"/>
      <c r="M59" s="1092"/>
      <c r="Q59" s="2115"/>
      <c r="R59" s="2115"/>
      <c r="S59" s="1112"/>
      <c r="T59" s="237"/>
      <c r="U59" s="1062"/>
      <c r="V59" s="163" t="s">
        <v>337</v>
      </c>
      <c r="W59" s="251"/>
      <c r="X59" s="251"/>
      <c r="Y59" s="251"/>
      <c r="Z59" s="251"/>
      <c r="AA59" s="251"/>
      <c r="AB59" s="251"/>
      <c r="AC59" s="1188"/>
      <c r="AD59" s="1188"/>
      <c r="AE59" s="1188"/>
      <c r="AF59" s="1188"/>
      <c r="AG59" s="251"/>
      <c r="AH59" s="251"/>
      <c r="AI59" s="251"/>
      <c r="AJ59" s="251"/>
      <c r="AK59" s="251"/>
      <c r="AL59" s="251"/>
      <c r="AM59" s="251"/>
      <c r="AN59" s="251"/>
      <c r="AO59" s="251"/>
      <c r="AP59" s="206"/>
      <c r="AQ59" s="2136"/>
      <c r="AS59" s="368"/>
      <c r="AT59" s="368" t="str">
        <f t="shared" si="2"/>
        <v>Добавить вид теплоносителя (параметры теплоносителя)</v>
      </c>
      <c r="AU59" s="368"/>
      <c r="AV59" s="368"/>
    </row>
    <row r="60" spans="1:48" ht="11.25" customHeight="1">
      <c r="A60" s="1050" t="s">
        <v>112</v>
      </c>
      <c r="B60" s="1050" t="s">
        <v>113</v>
      </c>
      <c r="C60" s="1050" t="s">
        <v>114</v>
      </c>
      <c r="D60" s="1050" t="s">
        <v>115</v>
      </c>
      <c r="E60" s="2147"/>
      <c r="F60" s="2147"/>
      <c r="G60" s="2147"/>
      <c r="H60" s="2147"/>
      <c r="I60" s="2025"/>
      <c r="J60" s="1050"/>
      <c r="K60" s="1050"/>
      <c r="L60" s="1050"/>
      <c r="M60" s="1092"/>
      <c r="Q60" s="2115"/>
      <c r="R60" s="1112"/>
      <c r="S60" s="1112"/>
      <c r="T60" s="237"/>
      <c r="U60" s="1062"/>
      <c r="V60" s="248" t="s">
        <v>338</v>
      </c>
      <c r="W60" s="251"/>
      <c r="X60" s="251"/>
      <c r="Y60" s="251"/>
      <c r="Z60" s="251"/>
      <c r="AA60" s="251"/>
      <c r="AB60" s="251"/>
      <c r="AC60" s="251"/>
      <c r="AD60" s="251"/>
      <c r="AE60" s="251"/>
      <c r="AF60" s="250"/>
      <c r="AG60" s="251"/>
      <c r="AH60" s="251"/>
      <c r="AI60" s="251"/>
      <c r="AJ60" s="251"/>
      <c r="AK60" s="251"/>
      <c r="AL60" s="251"/>
      <c r="AM60" s="251"/>
      <c r="AN60" s="251"/>
      <c r="AO60" s="250"/>
      <c r="AP60" s="251"/>
      <c r="AQ60" s="178"/>
      <c r="AS60" s="368"/>
      <c r="AT60" s="368" t="str">
        <f t="shared" si="2"/>
        <v>Добавить группу потребителей</v>
      </c>
      <c r="AU60" s="368"/>
      <c r="AV60" s="368"/>
    </row>
    <row r="61" spans="1:48" ht="0" hidden="1" customHeight="1">
      <c r="A61" s="1050" t="s">
        <v>112</v>
      </c>
      <c r="B61" s="1050" t="s">
        <v>113</v>
      </c>
      <c r="C61" s="1050" t="s">
        <v>114</v>
      </c>
      <c r="D61" s="1050" t="s">
        <v>115</v>
      </c>
      <c r="E61" s="2147"/>
      <c r="F61" s="2147"/>
      <c r="G61" s="2147"/>
      <c r="H61" s="2146"/>
      <c r="I61" s="1050"/>
      <c r="J61" s="1050"/>
      <c r="K61" s="1050"/>
      <c r="L61" s="1050"/>
      <c r="M61" s="1092"/>
      <c r="N61" s="523"/>
      <c r="O61" s="523"/>
      <c r="P61" s="377"/>
      <c r="Q61" s="241"/>
      <c r="R61" s="260"/>
      <c r="S61" s="236"/>
      <c r="T61" s="241"/>
      <c r="U61" s="1166"/>
      <c r="V61" s="1167"/>
      <c r="W61" s="1168"/>
      <c r="X61" s="1168"/>
      <c r="Y61" s="1168"/>
      <c r="Z61" s="1168"/>
      <c r="AA61" s="1168"/>
      <c r="AB61" s="1168"/>
      <c r="AC61" s="1168"/>
      <c r="AD61" s="1168"/>
      <c r="AE61" s="1168"/>
      <c r="AF61" s="1168"/>
      <c r="AG61" s="1168"/>
      <c r="AH61" s="1168"/>
      <c r="AI61" s="1168"/>
      <c r="AJ61" s="1168"/>
      <c r="AK61" s="1168"/>
      <c r="AL61" s="1168"/>
      <c r="AM61" s="1168"/>
      <c r="AN61" s="1168"/>
      <c r="AO61" s="1168"/>
      <c r="AP61" s="1168"/>
      <c r="AQ61" s="1169"/>
      <c r="AS61" s="368"/>
      <c r="AT61" s="368" t="str">
        <f t="shared" si="2"/>
        <v/>
      </c>
      <c r="AU61" s="368"/>
      <c r="AV61" s="368"/>
    </row>
    <row r="62" spans="1:48" s="1686" customFormat="1" ht="0" hidden="1" customHeight="1">
      <c r="A62" s="1155" t="s">
        <v>112</v>
      </c>
      <c r="B62" s="1155" t="s">
        <v>113</v>
      </c>
      <c r="C62" s="1155" t="s">
        <v>114</v>
      </c>
      <c r="D62" s="1154"/>
      <c r="E62" s="2147"/>
      <c r="F62" s="2147"/>
      <c r="G62" s="2146"/>
      <c r="H62" s="1154"/>
      <c r="I62" s="1154"/>
      <c r="J62" s="1154"/>
      <c r="K62" s="1154"/>
      <c r="L62" s="1154"/>
      <c r="M62" s="1157"/>
      <c r="N62" s="1158"/>
      <c r="O62" s="1158"/>
      <c r="P62" s="232"/>
      <c r="Q62" s="1098"/>
      <c r="R62" s="1099"/>
      <c r="S62" s="1098"/>
      <c r="T62" s="1098"/>
      <c r="U62" s="1104"/>
      <c r="V62" s="1107" t="s">
        <v>340</v>
      </c>
      <c r="W62" s="1106"/>
      <c r="X62" s="1106"/>
      <c r="Y62" s="1106"/>
      <c r="Z62" s="1106"/>
      <c r="AA62" s="1106"/>
      <c r="AB62" s="1106"/>
      <c r="AC62" s="1106"/>
      <c r="AD62" s="1106"/>
      <c r="AE62" s="1106"/>
      <c r="AF62" s="1106"/>
      <c r="AG62" s="1106"/>
      <c r="AH62" s="1106"/>
      <c r="AI62" s="1106"/>
      <c r="AJ62" s="1106"/>
      <c r="AK62" s="1106"/>
      <c r="AL62" s="1106"/>
      <c r="AM62" s="1106"/>
      <c r="AN62" s="1106"/>
      <c r="AO62" s="1106"/>
      <c r="AP62" s="1106"/>
      <c r="AQ62" s="1106"/>
      <c r="AS62" s="598"/>
      <c r="AT62" s="598" t="str">
        <f t="shared" si="2"/>
        <v>Добавить источник для дифференциации</v>
      </c>
      <c r="AU62" s="598"/>
      <c r="AV62" s="598"/>
    </row>
    <row r="63" spans="1:48" s="1686" customFormat="1" ht="0" hidden="1" customHeight="1">
      <c r="A63" s="1155" t="s">
        <v>112</v>
      </c>
      <c r="B63" s="1155" t="s">
        <v>113</v>
      </c>
      <c r="C63" s="1154"/>
      <c r="D63" s="1154"/>
      <c r="E63" s="2147"/>
      <c r="F63" s="2146"/>
      <c r="G63" s="1154"/>
      <c r="H63" s="1154"/>
      <c r="I63" s="1154"/>
      <c r="J63" s="1154"/>
      <c r="K63" s="1154"/>
      <c r="L63" s="1154"/>
      <c r="M63" s="1157"/>
      <c r="N63" s="1159"/>
      <c r="O63" s="1159"/>
      <c r="P63" s="232"/>
      <c r="Q63" s="1098"/>
      <c r="R63" s="1099"/>
      <c r="S63" s="1098"/>
      <c r="T63" s="1098"/>
      <c r="U63" s="1104"/>
      <c r="V63" s="1107" t="s">
        <v>341</v>
      </c>
      <c r="W63" s="1106"/>
      <c r="X63" s="1106"/>
      <c r="Y63" s="1106"/>
      <c r="Z63" s="1106"/>
      <c r="AA63" s="1106"/>
      <c r="AB63" s="1106"/>
      <c r="AC63" s="1106"/>
      <c r="AD63" s="1106"/>
      <c r="AE63" s="1106"/>
      <c r="AF63" s="1106"/>
      <c r="AG63" s="1106"/>
      <c r="AH63" s="1106"/>
      <c r="AI63" s="1106"/>
      <c r="AJ63" s="1106"/>
      <c r="AK63" s="1106"/>
      <c r="AL63" s="1106"/>
      <c r="AM63" s="1106"/>
      <c r="AN63" s="1106"/>
      <c r="AO63" s="1106"/>
      <c r="AP63" s="1106"/>
      <c r="AQ63" s="1106"/>
      <c r="AS63" s="598"/>
      <c r="AT63" s="598" t="str">
        <f t="shared" si="2"/>
        <v>Добавить централизованную систему для дифференциации</v>
      </c>
      <c r="AU63" s="598"/>
      <c r="AV63" s="598"/>
    </row>
    <row r="64" spans="1:48" s="1622" customFormat="1" ht="0" hidden="1" customHeight="1">
      <c r="A64" s="1155" t="s">
        <v>112</v>
      </c>
      <c r="B64" s="1155"/>
      <c r="C64" s="1155"/>
      <c r="D64" s="1155"/>
      <c r="E64" s="2146"/>
      <c r="F64" s="1155"/>
      <c r="G64" s="1155"/>
      <c r="H64" s="1155"/>
      <c r="I64" s="1155"/>
      <c r="J64" s="1155"/>
      <c r="K64" s="1155"/>
      <c r="L64" s="1155"/>
      <c r="M64" s="1161"/>
      <c r="N64" s="1159"/>
      <c r="O64" s="1159"/>
      <c r="P64" s="232"/>
      <c r="Q64" s="269"/>
      <c r="R64" s="1125"/>
      <c r="S64" s="269"/>
      <c r="T64" s="269"/>
      <c r="U64" s="1104"/>
      <c r="V64" s="1107" t="s">
        <v>342</v>
      </c>
      <c r="W64" s="1106"/>
      <c r="X64" s="1106"/>
      <c r="Y64" s="1106"/>
      <c r="Z64" s="1106"/>
      <c r="AA64" s="1106"/>
      <c r="AB64" s="1106"/>
      <c r="AC64" s="1106"/>
      <c r="AD64" s="1106"/>
      <c r="AE64" s="1106"/>
      <c r="AF64" s="1106"/>
      <c r="AG64" s="1106"/>
      <c r="AH64" s="1106"/>
      <c r="AI64" s="1106"/>
      <c r="AJ64" s="1106"/>
      <c r="AK64" s="1106"/>
      <c r="AL64" s="1106"/>
      <c r="AM64" s="1106"/>
      <c r="AN64" s="1106"/>
      <c r="AO64" s="1106"/>
      <c r="AP64" s="1106"/>
      <c r="AQ64" s="1106"/>
      <c r="AS64" s="368"/>
      <c r="AT64" s="368" t="str">
        <f t="shared" si="2"/>
        <v>Добавить территорию для дифференциации</v>
      </c>
      <c r="AU64" s="368"/>
      <c r="AV64" s="368"/>
    </row>
    <row r="65" spans="1:48" s="1686" customFormat="1" ht="5.25" customHeight="1">
      <c r="A65" s="1154"/>
      <c r="B65" s="1154"/>
      <c r="C65" s="1154"/>
      <c r="D65" s="1154"/>
      <c r="E65" s="1155"/>
      <c r="F65" s="1154"/>
      <c r="G65" s="1154"/>
      <c r="H65" s="1154"/>
      <c r="I65" s="1154"/>
      <c r="J65" s="1154"/>
      <c r="K65" s="1154"/>
      <c r="L65" s="1154"/>
      <c r="M65" s="1157"/>
      <c r="N65" s="1159"/>
      <c r="O65" s="1159"/>
      <c r="P65" s="232"/>
      <c r="Q65" s="1098"/>
      <c r="R65" s="1099"/>
      <c r="S65" s="1098"/>
      <c r="T65" s="1098"/>
      <c r="U65" s="1104"/>
      <c r="V65" s="1107" t="s">
        <v>374</v>
      </c>
      <c r="W65" s="1106"/>
      <c r="X65" s="1106"/>
      <c r="Y65" s="1106"/>
      <c r="Z65" s="1106"/>
      <c r="AA65" s="1106"/>
      <c r="AB65" s="1106"/>
      <c r="AC65" s="1106"/>
      <c r="AD65" s="1106"/>
      <c r="AE65" s="1106"/>
      <c r="AF65" s="1106"/>
      <c r="AG65" s="1106"/>
      <c r="AH65" s="1106"/>
      <c r="AI65" s="1106"/>
      <c r="AJ65" s="1106"/>
      <c r="AK65" s="1106"/>
      <c r="AL65" s="1106"/>
      <c r="AM65" s="1106"/>
      <c r="AN65" s="1106"/>
      <c r="AO65" s="1106"/>
      <c r="AP65" s="1106"/>
      <c r="AQ65" s="1106"/>
      <c r="AS65" s="598"/>
      <c r="AT65" s="598" t="str">
        <f t="shared" si="2"/>
        <v>Добавить наименование тарифа</v>
      </c>
      <c r="AU65" s="598"/>
      <c r="AV65" s="598"/>
    </row>
    <row r="66" spans="1:48" ht="11.25" customHeight="1">
      <c r="N66" s="924"/>
      <c r="O66" s="924"/>
      <c r="P66" s="377"/>
      <c r="Q66" s="924"/>
      <c r="R66" s="924"/>
      <c r="S66" s="924"/>
      <c r="T66" s="924"/>
      <c r="U66" s="924"/>
      <c r="AR66" s="924"/>
      <c r="AS66" s="924"/>
      <c r="AT66" s="924"/>
      <c r="AU66" s="924"/>
      <c r="AV66" s="924"/>
    </row>
    <row r="67" spans="1:48" ht="33.75" customHeight="1">
      <c r="P67" s="377"/>
      <c r="U67" s="1031"/>
      <c r="V67" s="2110"/>
      <c r="W67" s="2110"/>
      <c r="X67" s="2110"/>
      <c r="Y67" s="2110"/>
      <c r="Z67" s="2110"/>
      <c r="AA67" s="2110"/>
      <c r="AB67" s="2110"/>
      <c r="AC67" s="2110"/>
      <c r="AD67" s="2110"/>
      <c r="AE67" s="2110"/>
      <c r="AF67" s="2110"/>
      <c r="AG67" s="2110"/>
      <c r="AH67" s="2110"/>
      <c r="AI67" s="2110"/>
      <c r="AJ67" s="2110"/>
      <c r="AK67" s="2110"/>
      <c r="AL67" s="2110"/>
      <c r="AM67" s="2110"/>
      <c r="AN67" s="2110"/>
      <c r="AO67" s="2110"/>
      <c r="AP67" s="2110"/>
      <c r="AQ67" s="2110"/>
    </row>
    <row r="68" spans="1:48" ht="19.5" customHeight="1">
      <c r="P68" s="377"/>
      <c r="V68" s="2110"/>
      <c r="W68" s="2110"/>
      <c r="X68" s="2110"/>
      <c r="Y68" s="2110"/>
      <c r="Z68" s="2110"/>
      <c r="AA68" s="2110"/>
      <c r="AB68" s="2110"/>
      <c r="AC68" s="2110"/>
      <c r="AD68" s="2110"/>
      <c r="AE68" s="2110"/>
      <c r="AF68" s="2110"/>
      <c r="AG68" s="2110"/>
      <c r="AH68" s="2110"/>
      <c r="AI68" s="2110"/>
      <c r="AJ68" s="2110"/>
      <c r="AK68" s="2110"/>
      <c r="AL68" s="2110"/>
      <c r="AM68" s="2110"/>
      <c r="AN68" s="2110"/>
      <c r="AO68" s="2110"/>
      <c r="AP68" s="2110"/>
      <c r="AQ68" s="2110"/>
    </row>
    <row r="69" spans="1:48" ht="14.25" customHeight="1">
      <c r="P69" s="377"/>
    </row>
    <row r="70" spans="1:48" ht="27" customHeight="1">
      <c r="P70" s="377"/>
      <c r="V70" s="2110"/>
      <c r="W70" s="2110"/>
      <c r="X70" s="2110"/>
      <c r="Y70" s="2110"/>
      <c r="Z70" s="2110"/>
      <c r="AA70" s="2110"/>
      <c r="AB70" s="2110"/>
      <c r="AC70" s="2110"/>
      <c r="AD70" s="2110"/>
      <c r="AE70" s="2110"/>
      <c r="AF70" s="2110"/>
      <c r="AG70" s="2110"/>
      <c r="AH70" s="2110"/>
      <c r="AI70" s="2110"/>
      <c r="AJ70" s="2110"/>
      <c r="AK70" s="2110"/>
      <c r="AL70" s="2110"/>
      <c r="AM70" s="2110"/>
      <c r="AN70" s="2110"/>
      <c r="AO70" s="2110"/>
      <c r="AP70" s="2110"/>
      <c r="AQ70" s="2110"/>
    </row>
    <row r="71" spans="1:48" ht="18" customHeight="1">
      <c r="P71" s="377"/>
      <c r="V71" s="2110"/>
      <c r="W71" s="2110"/>
      <c r="X71" s="2110"/>
      <c r="Y71" s="2110"/>
      <c r="Z71" s="2110"/>
      <c r="AA71" s="2110"/>
      <c r="AB71" s="2110"/>
      <c r="AC71" s="2110"/>
      <c r="AD71" s="2110"/>
      <c r="AE71" s="2110"/>
      <c r="AF71" s="2110"/>
      <c r="AG71" s="2110"/>
      <c r="AH71" s="2110"/>
      <c r="AI71" s="2110"/>
      <c r="AJ71" s="2110"/>
      <c r="AK71" s="2110"/>
      <c r="AL71" s="2110"/>
      <c r="AM71" s="2110"/>
      <c r="AN71" s="2110"/>
      <c r="AO71" s="2110"/>
      <c r="AP71" s="2110"/>
      <c r="AQ71" s="2110"/>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687" hidden="1"/>
    <col min="2" max="2" width="11" style="1687" hidden="1" customWidth="1"/>
    <col min="3" max="3" width="10.5703125" style="1687" hidden="1"/>
    <col min="4" max="4" width="11.85546875" style="1687" hidden="1" customWidth="1"/>
    <col min="5" max="5" width="10" style="1687" hidden="1" customWidth="1"/>
    <col min="6" max="6" width="8.7109375" style="1687" hidden="1" customWidth="1"/>
    <col min="7" max="7" width="7.5703125" style="1687" hidden="1" customWidth="1"/>
    <col min="8" max="8" width="11.42578125" style="1687" hidden="1" customWidth="1"/>
    <col min="9" max="9" width="12" style="1687" hidden="1" customWidth="1"/>
    <col min="10" max="10" width="9.85546875" style="1687" hidden="1" customWidth="1"/>
    <col min="11" max="11" width="11.42578125" style="1687" hidden="1" customWidth="1"/>
    <col min="12" max="12" width="19.140625" style="1688" hidden="1" customWidth="1"/>
    <col min="13" max="14" width="12.28515625" style="1689" hidden="1" customWidth="1"/>
    <col min="15" max="15" width="23.42578125" style="1689" hidden="1" customWidth="1"/>
    <col min="16" max="16" width="3.7109375" style="1689" hidden="1" customWidth="1"/>
    <col min="17" max="17" width="3.7109375" style="1690" hidden="1" customWidth="1"/>
    <col min="18" max="18" width="3.7109375" style="1695" customWidth="1"/>
    <col min="19" max="19" width="12.7109375" style="1696" customWidth="1"/>
    <col min="20" max="20" width="32" style="1661" customWidth="1"/>
    <col min="21" max="21" width="0.140625" style="1661" customWidth="1"/>
    <col min="22" max="23" width="21.7109375" style="1661" hidden="1" customWidth="1"/>
    <col min="24" max="24" width="11.7109375" style="1661" hidden="1" customWidth="1"/>
    <col min="25" max="25" width="3.7109375" style="1661" hidden="1" customWidth="1"/>
    <col min="26" max="26" width="11.7109375" style="1661" hidden="1" customWidth="1"/>
    <col min="27" max="27" width="8.5703125" style="1661" hidden="1" customWidth="1"/>
    <col min="28" max="28" width="5.42578125" style="1661" customWidth="1"/>
    <col min="29" max="30" width="3.7109375" style="1661" customWidth="1"/>
    <col min="31" max="31" width="24.7109375" style="1661" customWidth="1"/>
    <col min="32" max="34" width="3.7109375" style="1661" customWidth="1"/>
    <col min="35" max="35" width="24.7109375" style="1661" customWidth="1"/>
    <col min="36" max="38" width="3.7109375" style="1661" customWidth="1"/>
    <col min="39" max="39" width="18.85546875" style="1661" customWidth="1"/>
    <col min="40" max="41" width="21.7109375" style="1661" customWidth="1"/>
    <col min="42" max="42" width="11.7109375" style="1661" customWidth="1"/>
    <col min="43" max="43" width="3.7109375" style="1661" customWidth="1"/>
    <col min="44" max="44" width="11.7109375" style="1661" customWidth="1"/>
    <col min="45" max="45" width="8.5703125" style="1661" customWidth="1"/>
    <col min="46" max="46" width="4.7109375" style="1661" customWidth="1"/>
    <col min="47" max="47" width="115.7109375" style="1661" customWidth="1"/>
    <col min="48" max="49" width="10.5703125" style="1622"/>
    <col min="50" max="50" width="11.140625" style="1622" customWidth="1"/>
    <col min="51" max="52" width="10.5703125" style="1622"/>
  </cols>
  <sheetData>
    <row r="1" spans="1:52" ht="14.25" hidden="1" customHeight="1">
      <c r="W1" s="210"/>
      <c r="X1" s="210"/>
      <c r="AO1" s="210"/>
      <c r="AP1" s="210"/>
    </row>
    <row r="2" spans="1:52" ht="21" hidden="1" customHeight="1">
      <c r="A2" s="1143"/>
      <c r="B2" s="1143"/>
      <c r="C2" s="1143"/>
      <c r="D2" s="1143"/>
      <c r="E2" s="2111">
        <v>1</v>
      </c>
      <c r="F2" s="1143"/>
      <c r="G2" s="1143"/>
      <c r="H2" s="1143"/>
      <c r="I2" s="1143"/>
      <c r="J2" s="1143"/>
      <c r="K2" s="1143"/>
      <c r="L2" s="1144"/>
      <c r="M2" s="1145"/>
      <c r="N2" s="1145"/>
      <c r="O2" s="1145"/>
      <c r="P2" s="1189"/>
      <c r="Q2" s="669"/>
      <c r="R2" s="236"/>
      <c r="S2" s="1117" t="e">
        <f>INDEX(PT_DIFFERENTIATION_NUM_NTAR,MATCH(A2,PT_DIFFERENTIATION_NTAR_ID,0))</f>
        <v>#N/A</v>
      </c>
      <c r="T2" s="173" t="s">
        <v>61</v>
      </c>
      <c r="U2" s="175"/>
      <c r="V2" s="2105"/>
      <c r="W2" s="2105"/>
      <c r="X2" s="2105"/>
      <c r="Y2" s="2105"/>
      <c r="Z2" s="2105"/>
      <c r="AA2" s="2106"/>
      <c r="AB2" s="2104" t="e">
        <f>INDEX(PT_DIFFERENTIATION_NTAR,MATCH(A2,PT_DIFFERENTIATION_NTAR_ID,0))</f>
        <v>#N/A</v>
      </c>
      <c r="AC2" s="2105"/>
      <c r="AD2" s="2105"/>
      <c r="AE2" s="2105"/>
      <c r="AF2" s="2105"/>
      <c r="AG2" s="2105"/>
      <c r="AH2" s="2105"/>
      <c r="AI2" s="2105"/>
      <c r="AJ2" s="2105"/>
      <c r="AK2" s="2105"/>
      <c r="AL2" s="2105"/>
      <c r="AM2" s="2105"/>
      <c r="AN2" s="2105"/>
      <c r="AO2" s="2105"/>
      <c r="AP2" s="2105"/>
      <c r="AQ2" s="2105"/>
      <c r="AR2" s="2105"/>
      <c r="AS2" s="2105"/>
      <c r="AT2" s="2106"/>
      <c r="AU2" s="1044" t="s">
        <v>322</v>
      </c>
      <c r="AW2" s="368"/>
      <c r="AX2" s="368" t="str">
        <f t="shared" ref="AX2:AX8" si="0">IF(T2="","",T2)</f>
        <v>Наименование тарифа</v>
      </c>
      <c r="AY2" s="368"/>
      <c r="AZ2" s="368"/>
    </row>
    <row r="3" spans="1:52" ht="21" hidden="1" customHeight="1">
      <c r="A3" s="1143"/>
      <c r="B3" s="1143"/>
      <c r="C3" s="1143"/>
      <c r="D3" s="1143"/>
      <c r="E3" s="2112"/>
      <c r="F3" s="2111">
        <v>1</v>
      </c>
      <c r="G3" s="1143"/>
      <c r="H3" s="1143"/>
      <c r="I3" s="1143"/>
      <c r="J3" s="1143"/>
      <c r="K3" s="1143"/>
      <c r="L3" s="1144"/>
      <c r="M3" s="1145"/>
      <c r="N3" s="1145"/>
      <c r="O3" s="1145"/>
      <c r="P3" s="1190"/>
      <c r="Q3" s="1191"/>
      <c r="R3" s="234"/>
      <c r="S3" s="1117" t="e">
        <f>INDEX(PT_DIFFERENTIATION_NUM_TER,MATCH(B3,PT_DIFFERENTIATION_TER_ID,0))</f>
        <v>#N/A</v>
      </c>
      <c r="T3" s="185" t="s">
        <v>323</v>
      </c>
      <c r="U3" s="175"/>
      <c r="V3" s="2105"/>
      <c r="W3" s="2105"/>
      <c r="X3" s="2105"/>
      <c r="Y3" s="2105"/>
      <c r="Z3" s="2105"/>
      <c r="AA3" s="2106"/>
      <c r="AB3" s="2104" t="e">
        <f>INDEX(PT_DIFFERENTIATION_TER,MATCH(B3,PT_DIFFERENTIATION_TER_ID,0))</f>
        <v>#N/A</v>
      </c>
      <c r="AC3" s="2105"/>
      <c r="AD3" s="2105"/>
      <c r="AE3" s="2105"/>
      <c r="AF3" s="2105"/>
      <c r="AG3" s="2105"/>
      <c r="AH3" s="2105"/>
      <c r="AI3" s="2105"/>
      <c r="AJ3" s="2105"/>
      <c r="AK3" s="2105"/>
      <c r="AL3" s="2105"/>
      <c r="AM3" s="2105"/>
      <c r="AN3" s="2105"/>
      <c r="AO3" s="2105"/>
      <c r="AP3" s="2105"/>
      <c r="AQ3" s="2105"/>
      <c r="AR3" s="2105"/>
      <c r="AS3" s="2105"/>
      <c r="AT3" s="2106"/>
      <c r="AU3" s="1044" t="s">
        <v>324</v>
      </c>
      <c r="AW3" s="368"/>
      <c r="AX3" s="368" t="str">
        <f t="shared" si="0"/>
        <v>Территория действия тарифа</v>
      </c>
      <c r="AY3" s="368"/>
      <c r="AZ3" s="368"/>
    </row>
    <row r="4" spans="1:52" ht="22.5" hidden="1" customHeight="1">
      <c r="A4" s="1143"/>
      <c r="B4" s="1143"/>
      <c r="C4" s="1143"/>
      <c r="D4" s="1143"/>
      <c r="E4" s="2112"/>
      <c r="F4" s="2112"/>
      <c r="G4" s="2111">
        <v>1</v>
      </c>
      <c r="H4" s="1143"/>
      <c r="I4" s="1143"/>
      <c r="J4" s="1143"/>
      <c r="K4" s="1143"/>
      <c r="L4" s="1144"/>
      <c r="M4" s="1145"/>
      <c r="N4" s="1145"/>
      <c r="O4" s="1145"/>
      <c r="P4" s="1192"/>
      <c r="Q4" s="1191"/>
      <c r="R4" s="234"/>
      <c r="S4" s="1117" t="e">
        <f>INDEX(PT_DIFFERENTIATION_NUM_CS,MATCH(C4,PT_DIFFERENTIATION_CS_ID,0))</f>
        <v>#N/A</v>
      </c>
      <c r="T4" s="186" t="s">
        <v>325</v>
      </c>
      <c r="U4" s="175"/>
      <c r="V4" s="2105"/>
      <c r="W4" s="2105"/>
      <c r="X4" s="2105"/>
      <c r="Y4" s="2105"/>
      <c r="Z4" s="2105"/>
      <c r="AA4" s="2106"/>
      <c r="AB4" s="2104" t="e">
        <f>INDEX(PT_DIFFERENTIATION_CS,MATCH(C4,PT_DIFFERENTIATION_CS_ID,0))</f>
        <v>#N/A</v>
      </c>
      <c r="AC4" s="2105"/>
      <c r="AD4" s="2105"/>
      <c r="AE4" s="2105"/>
      <c r="AF4" s="2105"/>
      <c r="AG4" s="2105"/>
      <c r="AH4" s="2105"/>
      <c r="AI4" s="2105"/>
      <c r="AJ4" s="2105"/>
      <c r="AK4" s="2105"/>
      <c r="AL4" s="2105"/>
      <c r="AM4" s="2105"/>
      <c r="AN4" s="2105"/>
      <c r="AO4" s="2105"/>
      <c r="AP4" s="2105"/>
      <c r="AQ4" s="2105"/>
      <c r="AR4" s="2105"/>
      <c r="AS4" s="2105"/>
      <c r="AT4" s="2106"/>
      <c r="AU4" s="1044" t="s">
        <v>326</v>
      </c>
      <c r="AW4" s="368"/>
      <c r="AX4" s="368" t="str">
        <f t="shared" si="0"/>
        <v xml:space="preserve">Наименование системы теплоснабжения </v>
      </c>
      <c r="AY4" s="368"/>
      <c r="AZ4" s="368"/>
    </row>
    <row r="5" spans="1:52" ht="21" hidden="1" customHeight="1">
      <c r="A5" s="1143"/>
      <c r="B5" s="1143"/>
      <c r="C5" s="1143"/>
      <c r="D5" s="1143"/>
      <c r="E5" s="2112"/>
      <c r="F5" s="2112"/>
      <c r="G5" s="2112"/>
      <c r="H5" s="2111">
        <v>1</v>
      </c>
      <c r="I5" s="1143"/>
      <c r="J5" s="1143"/>
      <c r="K5" s="1143"/>
      <c r="L5" s="1144"/>
      <c r="M5" s="1145"/>
      <c r="N5" s="1145"/>
      <c r="O5" s="1145"/>
      <c r="P5" s="1192"/>
      <c r="Q5" s="1191"/>
      <c r="R5" s="234"/>
      <c r="S5" s="1117" t="e">
        <f>INDEX(PT_DIFFERENTIATION_NUM_IST_TE,MATCH(D5,PT_DIFFERENTIATION_IST_TE_ID,0))</f>
        <v>#N/A</v>
      </c>
      <c r="T5" s="187" t="s">
        <v>327</v>
      </c>
      <c r="U5" s="175"/>
      <c r="V5" s="2105"/>
      <c r="W5" s="2105"/>
      <c r="X5" s="2105"/>
      <c r="Y5" s="2105"/>
      <c r="Z5" s="2105"/>
      <c r="AA5" s="2106"/>
      <c r="AB5" s="2104" t="e">
        <f>INDEX(PT_DIFFERENTIATION_IST_TE,MATCH(D5,PT_DIFFERENTIATION_IST_TE_ID,0))</f>
        <v>#N/A</v>
      </c>
      <c r="AC5" s="2105"/>
      <c r="AD5" s="2105"/>
      <c r="AE5" s="2105"/>
      <c r="AF5" s="2105"/>
      <c r="AG5" s="2105"/>
      <c r="AH5" s="2105"/>
      <c r="AI5" s="2105"/>
      <c r="AJ5" s="2105"/>
      <c r="AK5" s="2105"/>
      <c r="AL5" s="2105"/>
      <c r="AM5" s="2105"/>
      <c r="AN5" s="2105"/>
      <c r="AO5" s="2105"/>
      <c r="AP5" s="2105"/>
      <c r="AQ5" s="2105"/>
      <c r="AR5" s="2105"/>
      <c r="AS5" s="2105"/>
      <c r="AT5" s="2106"/>
      <c r="AU5" s="1044" t="s">
        <v>328</v>
      </c>
      <c r="AW5" s="368"/>
      <c r="AX5" s="368" t="str">
        <f t="shared" si="0"/>
        <v xml:space="preserve">Источник тепловой энергии  </v>
      </c>
      <c r="AY5" s="368"/>
      <c r="AZ5" s="368"/>
    </row>
    <row r="6" spans="1:52" s="1622" customFormat="1" ht="14.25" hidden="1" customHeight="1">
      <c r="A6" s="1124"/>
      <c r="B6" s="1124"/>
      <c r="C6" s="1124"/>
      <c r="D6" s="1124"/>
      <c r="E6" s="2112"/>
      <c r="F6" s="2112"/>
      <c r="G6" s="2112"/>
      <c r="H6" s="2112"/>
      <c r="I6" s="2113" t="e">
        <f>S5&amp;".1"</f>
        <v>#N/A</v>
      </c>
      <c r="J6" s="1124"/>
      <c r="K6" s="1124"/>
      <c r="L6" s="1127" t="s">
        <v>329</v>
      </c>
      <c r="M6" s="378"/>
      <c r="N6" s="378"/>
      <c r="O6" s="378"/>
      <c r="P6" s="2115">
        <v>1</v>
      </c>
      <c r="Q6" s="1112"/>
      <c r="R6" s="237"/>
      <c r="S6" s="825"/>
      <c r="T6" s="1163"/>
      <c r="U6" s="1164"/>
      <c r="V6" s="2141"/>
      <c r="W6" s="2141"/>
      <c r="X6" s="2141"/>
      <c r="Y6" s="2141"/>
      <c r="Z6" s="2141"/>
      <c r="AA6" s="2142"/>
      <c r="AB6" s="2140"/>
      <c r="AC6" s="2141"/>
      <c r="AD6" s="2141"/>
      <c r="AE6" s="2141"/>
      <c r="AF6" s="2141"/>
      <c r="AG6" s="2141"/>
      <c r="AH6" s="2141"/>
      <c r="AI6" s="2141"/>
      <c r="AJ6" s="2141"/>
      <c r="AK6" s="2141"/>
      <c r="AL6" s="2141"/>
      <c r="AM6" s="2141"/>
      <c r="AN6" s="2141"/>
      <c r="AO6" s="2141"/>
      <c r="AP6" s="2141"/>
      <c r="AQ6" s="2141"/>
      <c r="AR6" s="2141"/>
      <c r="AS6" s="2141"/>
      <c r="AT6" s="2142"/>
      <c r="AU6" s="1165"/>
      <c r="AW6" s="368"/>
      <c r="AX6" s="368" t="str">
        <f t="shared" si="0"/>
        <v/>
      </c>
      <c r="AY6" s="368"/>
      <c r="AZ6" s="368"/>
    </row>
    <row r="7" spans="1:52" s="1622" customFormat="1" ht="14.25" hidden="1" customHeight="1">
      <c r="A7" s="1124"/>
      <c r="B7" s="1124"/>
      <c r="C7" s="1124"/>
      <c r="D7" s="1124"/>
      <c r="E7" s="2112"/>
      <c r="F7" s="2112"/>
      <c r="G7" s="2112"/>
      <c r="H7" s="2112"/>
      <c r="I7" s="2114"/>
      <c r="J7" s="2113" t="e">
        <f>S5&amp;".1"</f>
        <v>#N/A</v>
      </c>
      <c r="K7" s="1124"/>
      <c r="L7" s="1127"/>
      <c r="M7" s="378"/>
      <c r="N7" s="378"/>
      <c r="O7" s="378"/>
      <c r="P7" s="2115"/>
      <c r="Q7" s="2115">
        <v>1</v>
      </c>
      <c r="R7" s="238"/>
      <c r="S7" s="825"/>
      <c r="T7" s="1179"/>
      <c r="U7" s="1164"/>
      <c r="V7" s="2141"/>
      <c r="W7" s="2141"/>
      <c r="X7" s="2141"/>
      <c r="Y7" s="2141"/>
      <c r="Z7" s="2141"/>
      <c r="AA7" s="2142"/>
      <c r="AB7" s="2140"/>
      <c r="AC7" s="2141"/>
      <c r="AD7" s="2141"/>
      <c r="AE7" s="2141"/>
      <c r="AF7" s="2141"/>
      <c r="AG7" s="2141"/>
      <c r="AH7" s="2141"/>
      <c r="AI7" s="2141"/>
      <c r="AJ7" s="2141"/>
      <c r="AK7" s="2141"/>
      <c r="AL7" s="2141"/>
      <c r="AM7" s="2141"/>
      <c r="AN7" s="2141"/>
      <c r="AO7" s="2141"/>
      <c r="AP7" s="2141"/>
      <c r="AQ7" s="2141"/>
      <c r="AR7" s="2141"/>
      <c r="AS7" s="2141"/>
      <c r="AT7" s="2142"/>
      <c r="AU7" s="1165"/>
      <c r="AW7" s="368"/>
      <c r="AX7" s="368" t="str">
        <f t="shared" si="0"/>
        <v/>
      </c>
      <c r="AY7" s="368"/>
      <c r="AZ7" s="368"/>
    </row>
    <row r="8" spans="1:52" ht="21" hidden="1" customHeight="1">
      <c r="A8" s="1143"/>
      <c r="B8" s="1143"/>
      <c r="C8" s="1143"/>
      <c r="D8" s="1143"/>
      <c r="E8" s="2112"/>
      <c r="F8" s="2112"/>
      <c r="G8" s="2112"/>
      <c r="H8" s="2112"/>
      <c r="I8" s="2114"/>
      <c r="J8" s="2114"/>
      <c r="K8" s="2113" t="e">
        <f>S5&amp;".1"</f>
        <v>#N/A</v>
      </c>
      <c r="L8" s="1144"/>
      <c r="P8" s="2115"/>
      <c r="Q8" s="2115"/>
      <c r="R8" s="2164">
        <v>1</v>
      </c>
      <c r="S8" s="2161" t="e">
        <f>$K8</f>
        <v>#N/A</v>
      </c>
      <c r="T8" s="2158"/>
      <c r="U8" s="175"/>
      <c r="V8" s="576"/>
      <c r="W8" s="1043"/>
      <c r="X8" s="2116"/>
      <c r="Y8" s="2109" t="s">
        <v>16</v>
      </c>
      <c r="Z8" s="2116"/>
      <c r="AA8" s="2109" t="s">
        <v>16</v>
      </c>
      <c r="AB8" s="2109" t="s">
        <v>15</v>
      </c>
      <c r="AC8" s="2157"/>
      <c r="AD8" s="2063">
        <v>1</v>
      </c>
      <c r="AE8" s="2170"/>
      <c r="AF8" s="2109" t="s">
        <v>15</v>
      </c>
      <c r="AG8" s="2157"/>
      <c r="AH8" s="2063">
        <v>1</v>
      </c>
      <c r="AI8" s="2170"/>
      <c r="AJ8" s="2109" t="s">
        <v>15</v>
      </c>
      <c r="AK8" s="188"/>
      <c r="AL8" s="1118">
        <v>1</v>
      </c>
      <c r="AM8" s="1178"/>
      <c r="AN8" s="576"/>
      <c r="AO8" s="1043"/>
      <c r="AP8" s="1474"/>
      <c r="AQ8" s="1232" t="s">
        <v>16</v>
      </c>
      <c r="AR8" s="1474"/>
      <c r="AS8" s="1232" t="s">
        <v>16</v>
      </c>
      <c r="AT8" s="1129"/>
      <c r="AU8" s="2134" t="s">
        <v>389</v>
      </c>
      <c r="AV8" s="379" t="e">
        <f ca="1">STRCHECKDATE(V11:AT11)</f>
        <v>#NAME?</v>
      </c>
      <c r="AW8" s="368"/>
      <c r="AX8" s="368" t="str">
        <f t="shared" si="0"/>
        <v/>
      </c>
      <c r="AY8" s="368"/>
      <c r="AZ8" s="368"/>
    </row>
    <row r="9" spans="1:52" ht="11.25" hidden="1" customHeight="1">
      <c r="A9" s="1143"/>
      <c r="B9" s="1143"/>
      <c r="C9" s="1143"/>
      <c r="D9" s="1143"/>
      <c r="E9" s="2112"/>
      <c r="F9" s="2112"/>
      <c r="G9" s="2112"/>
      <c r="H9" s="2112"/>
      <c r="I9" s="2114"/>
      <c r="J9" s="2114"/>
      <c r="K9" s="2113"/>
      <c r="L9" s="1144"/>
      <c r="P9" s="2115"/>
      <c r="Q9" s="2115"/>
      <c r="R9" s="2164"/>
      <c r="S9" s="2162"/>
      <c r="T9" s="2159"/>
      <c r="U9" s="175"/>
      <c r="V9" s="1173"/>
      <c r="W9" s="1177"/>
      <c r="X9" s="2116"/>
      <c r="Y9" s="2109"/>
      <c r="Z9" s="2116"/>
      <c r="AA9" s="2109"/>
      <c r="AB9" s="2109"/>
      <c r="AC9" s="2157"/>
      <c r="AD9" s="2063"/>
      <c r="AE9" s="2170"/>
      <c r="AF9" s="2109"/>
      <c r="AG9" s="2157"/>
      <c r="AH9" s="2063"/>
      <c r="AI9" s="2170"/>
      <c r="AJ9" s="2109"/>
      <c r="AK9" s="195"/>
      <c r="AL9" s="296"/>
      <c r="AM9" s="295" t="s">
        <v>390</v>
      </c>
      <c r="AN9" s="1173"/>
      <c r="AO9" s="1266"/>
      <c r="AP9" s="1173"/>
      <c r="AQ9" s="1173"/>
      <c r="AR9" s="1173"/>
      <c r="AS9" s="1173"/>
      <c r="AT9" s="1170"/>
      <c r="AU9" s="2135"/>
      <c r="AW9" s="368"/>
      <c r="AX9" s="368"/>
      <c r="AY9" s="368"/>
      <c r="AZ9" s="368"/>
    </row>
    <row r="10" spans="1:52" ht="11.25" hidden="1" customHeight="1">
      <c r="A10" s="1143"/>
      <c r="B10" s="1143"/>
      <c r="C10" s="1143"/>
      <c r="D10" s="1143"/>
      <c r="E10" s="2112"/>
      <c r="F10" s="2112"/>
      <c r="G10" s="2112"/>
      <c r="H10" s="2112"/>
      <c r="I10" s="2114"/>
      <c r="J10" s="2114"/>
      <c r="K10" s="2113"/>
      <c r="L10" s="1144"/>
      <c r="P10" s="2115"/>
      <c r="Q10" s="2115"/>
      <c r="R10" s="2164"/>
      <c r="S10" s="2162"/>
      <c r="T10" s="2159"/>
      <c r="U10" s="175"/>
      <c r="V10" s="1173"/>
      <c r="W10" s="1177"/>
      <c r="X10" s="2116"/>
      <c r="Y10" s="2109"/>
      <c r="Z10" s="2116"/>
      <c r="AA10" s="2109"/>
      <c r="AB10" s="2109"/>
      <c r="AC10" s="2157"/>
      <c r="AD10" s="2063"/>
      <c r="AE10" s="2170"/>
      <c r="AF10" s="2109"/>
      <c r="AG10" s="169"/>
      <c r="AH10" s="295"/>
      <c r="AI10" s="295" t="s">
        <v>391</v>
      </c>
      <c r="AJ10" s="1173"/>
      <c r="AK10" s="1173"/>
      <c r="AL10" s="1173"/>
      <c r="AM10" s="1173"/>
      <c r="AN10" s="1173"/>
      <c r="AO10" s="1266"/>
      <c r="AP10" s="1173"/>
      <c r="AQ10" s="1173"/>
      <c r="AR10" s="1173"/>
      <c r="AS10" s="1173"/>
      <c r="AT10" s="1170"/>
      <c r="AU10" s="2135"/>
      <c r="AW10" s="368"/>
      <c r="AX10" s="368"/>
      <c r="AY10" s="368"/>
      <c r="AZ10" s="368"/>
    </row>
    <row r="11" spans="1:52" ht="11.25" hidden="1" customHeight="1">
      <c r="A11" s="1143"/>
      <c r="B11" s="1143"/>
      <c r="C11" s="1143"/>
      <c r="D11" s="1143"/>
      <c r="E11" s="2112"/>
      <c r="F11" s="2112"/>
      <c r="G11" s="2112"/>
      <c r="H11" s="2112"/>
      <c r="I11" s="2114"/>
      <c r="J11" s="2114"/>
      <c r="K11" s="2113"/>
      <c r="L11" s="1144"/>
      <c r="P11" s="2115"/>
      <c r="Q11" s="2115"/>
      <c r="R11" s="2164"/>
      <c r="S11" s="2163"/>
      <c r="T11" s="2160"/>
      <c r="U11" s="175"/>
      <c r="V11" s="1173"/>
      <c r="W11" s="1176" t="str">
        <f>X8&amp;"-"&amp;Z8</f>
        <v>-</v>
      </c>
      <c r="X11" s="2117"/>
      <c r="Y11" s="2109"/>
      <c r="Z11" s="2117"/>
      <c r="AA11" s="2109"/>
      <c r="AB11" s="2109"/>
      <c r="AC11" s="189"/>
      <c r="AD11" s="191"/>
      <c r="AE11" s="295" t="s">
        <v>392</v>
      </c>
      <c r="AF11" s="1173"/>
      <c r="AG11" s="1173"/>
      <c r="AH11" s="1173"/>
      <c r="AI11" s="1173"/>
      <c r="AJ11" s="1173"/>
      <c r="AK11" s="1173"/>
      <c r="AL11" s="1173"/>
      <c r="AM11" s="1173"/>
      <c r="AN11" s="1173"/>
      <c r="AO11" s="1174" t="str">
        <f>AP8&amp;"-"&amp;AR8</f>
        <v>-</v>
      </c>
      <c r="AP11" s="1173"/>
      <c r="AQ11" s="1173"/>
      <c r="AR11" s="1173"/>
      <c r="AS11" s="1173"/>
      <c r="AT11" s="1130"/>
      <c r="AU11" s="2135"/>
      <c r="AW11" s="368"/>
      <c r="AX11" s="368" t="str">
        <f t="shared" ref="AX11:AX17" si="1">IF(T11="","",T11)</f>
        <v/>
      </c>
      <c r="AY11" s="368"/>
      <c r="AZ11" s="368"/>
    </row>
    <row r="12" spans="1:52" ht="11.25" hidden="1" customHeight="1">
      <c r="A12" s="1143"/>
      <c r="B12" s="1143"/>
      <c r="C12" s="1143"/>
      <c r="D12" s="1143"/>
      <c r="E12" s="2112"/>
      <c r="F12" s="2112"/>
      <c r="G12" s="2112"/>
      <c r="H12" s="2112"/>
      <c r="I12" s="2114"/>
      <c r="J12" s="2113"/>
      <c r="K12" s="1143"/>
      <c r="L12" s="1144"/>
      <c r="P12" s="2115"/>
      <c r="Q12" s="2115"/>
      <c r="R12" s="237"/>
      <c r="S12" s="1062"/>
      <c r="T12" s="163" t="s">
        <v>393</v>
      </c>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06"/>
      <c r="AU12" s="2136"/>
      <c r="AW12" s="368"/>
      <c r="AX12" s="368" t="str">
        <f t="shared" si="1"/>
        <v>Добавить строку</v>
      </c>
      <c r="AY12" s="368"/>
      <c r="AZ12" s="368"/>
    </row>
    <row r="13" spans="1:52" s="1622" customFormat="1" ht="14.25" hidden="1" customHeight="1">
      <c r="A13" s="1124"/>
      <c r="B13" s="1124"/>
      <c r="C13" s="1124"/>
      <c r="D13" s="1124"/>
      <c r="E13" s="2112"/>
      <c r="F13" s="2112"/>
      <c r="G13" s="2112"/>
      <c r="H13" s="2112"/>
      <c r="I13" s="2113"/>
      <c r="J13" s="1124"/>
      <c r="K13" s="1124"/>
      <c r="L13" s="1127"/>
      <c r="M13" s="378"/>
      <c r="N13" s="378"/>
      <c r="O13" s="378"/>
      <c r="P13" s="2115"/>
      <c r="Q13" s="1112"/>
      <c r="R13" s="237"/>
      <c r="S13" s="1166"/>
      <c r="T13" s="1167"/>
      <c r="U13" s="1168"/>
      <c r="V13" s="1168"/>
      <c r="W13" s="1168"/>
      <c r="X13" s="1168"/>
      <c r="Y13" s="1168"/>
      <c r="Z13" s="1168"/>
      <c r="AA13" s="1168"/>
      <c r="AB13" s="1168"/>
      <c r="AC13" s="1168"/>
      <c r="AD13" s="1168"/>
      <c r="AE13" s="1168"/>
      <c r="AF13" s="1168"/>
      <c r="AG13" s="1168"/>
      <c r="AH13" s="1168"/>
      <c r="AI13" s="1168"/>
      <c r="AJ13" s="1168"/>
      <c r="AK13" s="1168"/>
      <c r="AL13" s="1168"/>
      <c r="AM13" s="1168"/>
      <c r="AN13" s="1168"/>
      <c r="AO13" s="1168"/>
      <c r="AP13" s="1168"/>
      <c r="AQ13" s="1168"/>
      <c r="AR13" s="1168"/>
      <c r="AS13" s="1168"/>
      <c r="AT13" s="1168"/>
      <c r="AU13" s="1169"/>
      <c r="AW13" s="368"/>
      <c r="AX13" s="368" t="str">
        <f t="shared" si="1"/>
        <v/>
      </c>
      <c r="AY13" s="368"/>
      <c r="AZ13" s="368"/>
    </row>
    <row r="14" spans="1:52" s="1622" customFormat="1" ht="14.25" hidden="1" customHeight="1">
      <c r="A14" s="1124"/>
      <c r="B14" s="1124"/>
      <c r="C14" s="1124"/>
      <c r="D14" s="1124"/>
      <c r="E14" s="2112"/>
      <c r="F14" s="2112"/>
      <c r="G14" s="2112"/>
      <c r="H14" s="2111"/>
      <c r="I14" s="1124"/>
      <c r="J14" s="1124"/>
      <c r="K14" s="1124"/>
      <c r="L14" s="1127"/>
      <c r="M14" s="1097"/>
      <c r="N14" s="1097"/>
      <c r="O14" s="386"/>
      <c r="P14" s="269"/>
      <c r="Q14" s="1125"/>
      <c r="R14" s="1181"/>
      <c r="S14" s="1166"/>
      <c r="T14" s="1167"/>
      <c r="U14" s="1168"/>
      <c r="V14" s="1168"/>
      <c r="W14" s="1168"/>
      <c r="X14" s="1168"/>
      <c r="Y14" s="1168"/>
      <c r="Z14" s="1168"/>
      <c r="AA14" s="1168"/>
      <c r="AB14" s="1168"/>
      <c r="AC14" s="1168"/>
      <c r="AD14" s="1168"/>
      <c r="AE14" s="1168"/>
      <c r="AF14" s="1168"/>
      <c r="AG14" s="1168"/>
      <c r="AH14" s="1168"/>
      <c r="AI14" s="1168"/>
      <c r="AJ14" s="1168"/>
      <c r="AK14" s="1168"/>
      <c r="AL14" s="1168"/>
      <c r="AM14" s="1168"/>
      <c r="AN14" s="1168"/>
      <c r="AO14" s="1168"/>
      <c r="AP14" s="1168"/>
      <c r="AQ14" s="1168"/>
      <c r="AR14" s="1168"/>
      <c r="AS14" s="1168"/>
      <c r="AT14" s="1168"/>
      <c r="AU14" s="1169"/>
      <c r="AW14" s="368"/>
      <c r="AX14" s="368" t="str">
        <f t="shared" si="1"/>
        <v/>
      </c>
      <c r="AY14" s="368"/>
      <c r="AZ14" s="368"/>
    </row>
    <row r="15" spans="1:52" s="1686" customFormat="1" ht="14.25" hidden="1" customHeight="1">
      <c r="A15" s="1124"/>
      <c r="B15" s="1124"/>
      <c r="C15" s="1124"/>
      <c r="D15" s="1096"/>
      <c r="E15" s="2112"/>
      <c r="F15" s="2112"/>
      <c r="G15" s="2111"/>
      <c r="H15" s="1096"/>
      <c r="I15" s="1096"/>
      <c r="J15" s="1096"/>
      <c r="K15" s="1096"/>
      <c r="L15" s="1120"/>
      <c r="M15" s="1097"/>
      <c r="N15" s="1097"/>
      <c r="P15" s="1098"/>
      <c r="Q15" s="1099"/>
      <c r="R15" s="1098"/>
      <c r="S15" s="1104"/>
      <c r="T15" s="1107" t="s">
        <v>340</v>
      </c>
      <c r="U15" s="1106"/>
      <c r="V15" s="1106"/>
      <c r="W15" s="1106"/>
      <c r="X15" s="1106"/>
      <c r="Y15" s="1106"/>
      <c r="Z15" s="1106"/>
      <c r="AA15" s="1106"/>
      <c r="AB15" s="1106"/>
      <c r="AC15" s="1106"/>
      <c r="AD15" s="1106"/>
      <c r="AE15" s="1106"/>
      <c r="AF15" s="1106"/>
      <c r="AG15" s="1106"/>
      <c r="AH15" s="1106"/>
      <c r="AI15" s="1106"/>
      <c r="AJ15" s="1106"/>
      <c r="AK15" s="1106"/>
      <c r="AL15" s="1106"/>
      <c r="AM15" s="1106"/>
      <c r="AN15" s="1106"/>
      <c r="AO15" s="1106"/>
      <c r="AP15" s="1106"/>
      <c r="AQ15" s="1106"/>
      <c r="AR15" s="1106"/>
      <c r="AS15" s="1106"/>
      <c r="AT15" s="1106"/>
      <c r="AU15" s="1106"/>
      <c r="AW15" s="598"/>
      <c r="AX15" s="598" t="str">
        <f t="shared" si="1"/>
        <v>Добавить источник для дифференциации</v>
      </c>
      <c r="AY15" s="598"/>
      <c r="AZ15" s="598"/>
    </row>
    <row r="16" spans="1:52" s="1686" customFormat="1" ht="14.25" hidden="1" customHeight="1">
      <c r="A16" s="1124"/>
      <c r="B16" s="1124"/>
      <c r="C16" s="1096"/>
      <c r="D16" s="1096"/>
      <c r="E16" s="2112"/>
      <c r="F16" s="2111"/>
      <c r="G16" s="1096"/>
      <c r="H16" s="1096"/>
      <c r="I16" s="1096"/>
      <c r="J16" s="1096"/>
      <c r="K16" s="1096"/>
      <c r="L16" s="1120"/>
      <c r="M16" s="1103"/>
      <c r="N16" s="1103"/>
      <c r="P16" s="1098"/>
      <c r="Q16" s="1099"/>
      <c r="R16" s="1098"/>
      <c r="S16" s="1104"/>
      <c r="T16" s="1107" t="s">
        <v>341</v>
      </c>
      <c r="U16" s="1106"/>
      <c r="V16" s="1106"/>
      <c r="W16" s="1106"/>
      <c r="X16" s="1106"/>
      <c r="Y16" s="1106"/>
      <c r="Z16" s="1106"/>
      <c r="AA16" s="1106"/>
      <c r="AB16" s="1106"/>
      <c r="AC16" s="1106"/>
      <c r="AD16" s="1106"/>
      <c r="AE16" s="1106"/>
      <c r="AF16" s="1106"/>
      <c r="AG16" s="1106"/>
      <c r="AH16" s="1106"/>
      <c r="AI16" s="1106"/>
      <c r="AJ16" s="1106"/>
      <c r="AK16" s="1106"/>
      <c r="AL16" s="1106"/>
      <c r="AM16" s="1106"/>
      <c r="AN16" s="1106"/>
      <c r="AO16" s="1106"/>
      <c r="AP16" s="1106"/>
      <c r="AQ16" s="1106"/>
      <c r="AR16" s="1106"/>
      <c r="AS16" s="1106"/>
      <c r="AT16" s="1106"/>
      <c r="AU16" s="1106"/>
      <c r="AW16" s="598"/>
      <c r="AX16" s="598" t="str">
        <f t="shared" si="1"/>
        <v>Добавить централизованную систему для дифференциации</v>
      </c>
      <c r="AY16" s="598"/>
      <c r="AZ16" s="598"/>
    </row>
    <row r="17" spans="1:52" s="1622" customFormat="1" ht="14.25" hidden="1" customHeight="1">
      <c r="A17" s="1124"/>
      <c r="B17" s="1124"/>
      <c r="C17" s="1124"/>
      <c r="D17" s="1124"/>
      <c r="E17" s="2111"/>
      <c r="F17" s="1124"/>
      <c r="G17" s="1124"/>
      <c r="H17" s="1124"/>
      <c r="I17" s="1124"/>
      <c r="J17" s="1124"/>
      <c r="K17" s="1124"/>
      <c r="L17" s="1127"/>
      <c r="M17" s="1103"/>
      <c r="N17" s="1103"/>
      <c r="O17" s="386"/>
      <c r="P17" s="269"/>
      <c r="Q17" s="1125"/>
      <c r="R17" s="269"/>
      <c r="S17" s="1104"/>
      <c r="T17" s="1107" t="s">
        <v>342</v>
      </c>
      <c r="U17" s="1106"/>
      <c r="V17" s="1106"/>
      <c r="W17" s="1106"/>
      <c r="X17" s="1106"/>
      <c r="Y17" s="1106"/>
      <c r="Z17" s="1106"/>
      <c r="AA17" s="1106"/>
      <c r="AB17" s="1106"/>
      <c r="AC17" s="1106"/>
      <c r="AD17" s="1106"/>
      <c r="AE17" s="1106"/>
      <c r="AF17" s="1106"/>
      <c r="AG17" s="1106"/>
      <c r="AH17" s="1106"/>
      <c r="AI17" s="1106"/>
      <c r="AJ17" s="1106"/>
      <c r="AK17" s="1106"/>
      <c r="AL17" s="1106"/>
      <c r="AM17" s="1106"/>
      <c r="AN17" s="1106"/>
      <c r="AO17" s="1106"/>
      <c r="AP17" s="1106"/>
      <c r="AQ17" s="1106"/>
      <c r="AR17" s="1106"/>
      <c r="AS17" s="1106"/>
      <c r="AT17" s="1106"/>
      <c r="AU17" s="1106"/>
      <c r="AW17" s="368"/>
      <c r="AX17" s="368" t="str">
        <f t="shared" si="1"/>
        <v>Добавить территорию для дифференциации</v>
      </c>
      <c r="AY17" s="368"/>
      <c r="AZ17" s="368"/>
    </row>
    <row r="18" spans="1:52" ht="14.25" hidden="1" customHeight="1">
      <c r="AA18" s="210"/>
      <c r="AS18" s="210"/>
    </row>
    <row r="19" spans="1:52" ht="14.25" hidden="1" customHeight="1">
      <c r="AB19" s="1106" t="s">
        <v>15</v>
      </c>
      <c r="AC19" s="1271"/>
      <c r="AD19" s="406">
        <v>1</v>
      </c>
      <c r="AE19" s="1272"/>
      <c r="AF19" s="1106" t="s">
        <v>15</v>
      </c>
      <c r="AG19" s="1271"/>
      <c r="AH19" s="406">
        <v>1</v>
      </c>
      <c r="AI19" s="1272"/>
      <c r="AJ19" s="1106" t="s">
        <v>15</v>
      </c>
      <c r="AK19" s="1273"/>
      <c r="AL19" s="406">
        <v>1</v>
      </c>
      <c r="AM19" s="1276"/>
      <c r="AN19" s="1183"/>
      <c r="AO19" s="1184"/>
      <c r="AP19" s="1476"/>
      <c r="AQ19" s="1233" t="s">
        <v>16</v>
      </c>
      <c r="AR19" s="1476"/>
      <c r="AS19" s="1233" t="s">
        <v>16</v>
      </c>
    </row>
    <row r="20" spans="1:52" ht="14.25" hidden="1" customHeight="1">
      <c r="AV20" s="364"/>
      <c r="AW20" s="364"/>
      <c r="AX20" s="364"/>
      <c r="AY20" s="364"/>
      <c r="AZ20" s="364"/>
    </row>
    <row r="21" spans="1:52" ht="14.25" hidden="1" customHeight="1">
      <c r="O21" s="1147" t="s">
        <v>343</v>
      </c>
      <c r="X21" s="1126"/>
      <c r="Z21" s="1126"/>
      <c r="AA21" s="210"/>
      <c r="AP21" s="1126"/>
      <c r="AR21" s="1126"/>
      <c r="AS21" s="210"/>
      <c r="AV21" s="364"/>
      <c r="AW21" s="364"/>
      <c r="AX21" s="364"/>
      <c r="AY21" s="364"/>
      <c r="AZ21" s="364"/>
    </row>
    <row r="22" spans="1:52" ht="14.25" hidden="1" customHeight="1">
      <c r="AA22" s="210"/>
      <c r="AS22" s="210"/>
      <c r="AV22" s="364"/>
      <c r="AW22" s="364"/>
      <c r="AX22" s="364"/>
      <c r="AY22" s="364"/>
      <c r="AZ22" s="364"/>
    </row>
    <row r="23" spans="1:52" s="1700" customFormat="1" ht="14.25" hidden="1" customHeight="1">
      <c r="M23" s="1278"/>
      <c r="N23" s="1278"/>
      <c r="O23" s="1279" t="s">
        <v>344</v>
      </c>
      <c r="P23" s="1278"/>
      <c r="Q23" s="1280"/>
      <c r="R23" s="1280"/>
      <c r="Y23" s="1277" t="s">
        <v>346</v>
      </c>
      <c r="AA23" s="1277" t="s">
        <v>347</v>
      </c>
      <c r="AB23" s="1277" t="s">
        <v>394</v>
      </c>
      <c r="AE23" s="1277" t="s">
        <v>395</v>
      </c>
      <c r="AF23" s="1277" t="s">
        <v>394</v>
      </c>
      <c r="AI23" s="1277" t="s">
        <v>396</v>
      </c>
      <c r="AJ23" s="1277" t="s">
        <v>394</v>
      </c>
      <c r="AM23" s="1277" t="s">
        <v>397</v>
      </c>
      <c r="AQ23" s="1277" t="s">
        <v>346</v>
      </c>
      <c r="AS23" s="1277" t="s">
        <v>347</v>
      </c>
      <c r="AV23" s="1281"/>
      <c r="AW23" s="1281"/>
      <c r="AX23" s="1281"/>
      <c r="AY23" s="1281"/>
      <c r="AZ23" s="1281"/>
    </row>
    <row r="24" spans="1:52" ht="14.25" hidden="1" customHeight="1">
      <c r="O24" s="1144"/>
      <c r="AV24" s="364"/>
      <c r="AW24" s="364"/>
      <c r="AX24" s="364"/>
      <c r="AY24" s="364"/>
      <c r="AZ24" s="364"/>
    </row>
    <row r="25" spans="1:52" ht="14.25" hidden="1" customHeight="1">
      <c r="O25" s="1144"/>
      <c r="AV25" s="364"/>
      <c r="AW25" s="364"/>
      <c r="AX25" s="364"/>
      <c r="AY25" s="364"/>
      <c r="AZ25" s="364"/>
    </row>
    <row r="26" spans="1:52" ht="14.25" customHeight="1">
      <c r="Q26" s="167"/>
      <c r="R26" s="261"/>
      <c r="S26" s="1059"/>
      <c r="T26" s="246"/>
      <c r="U26" s="246"/>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row>
    <row r="27" spans="1:52" ht="26.25" customHeight="1">
      <c r="Q27" s="167"/>
      <c r="R27" s="261"/>
      <c r="S27" s="208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88"/>
      <c r="U27" s="2088"/>
      <c r="V27" s="2088"/>
      <c r="W27" s="2088"/>
      <c r="X27" s="2088"/>
      <c r="Y27" s="2088"/>
      <c r="Z27" s="2088"/>
      <c r="AA27" s="2088"/>
      <c r="AB27" s="2088"/>
      <c r="AC27" s="2088"/>
      <c r="AD27" s="2088"/>
      <c r="AE27" s="2088"/>
      <c r="AF27" s="2088"/>
      <c r="AG27" s="2088"/>
      <c r="AH27" s="2088"/>
      <c r="AI27" s="2088"/>
      <c r="AJ27" s="2088"/>
      <c r="AK27" s="2088"/>
      <c r="AL27" s="2088"/>
      <c r="AM27" s="2088"/>
      <c r="AN27" s="2088"/>
      <c r="AO27" s="2088"/>
      <c r="AP27" s="2088"/>
      <c r="AQ27" s="2088"/>
      <c r="AR27" s="2088"/>
      <c r="AS27" s="1019"/>
    </row>
    <row r="28" spans="1:52" ht="14.25" customHeight="1">
      <c r="Q28" s="167"/>
      <c r="R28" s="261"/>
      <c r="S28" s="2059" t="e">
        <f>IF(org=0,"Не определено",org)</f>
        <v>#REF!</v>
      </c>
      <c r="T28" s="2059"/>
      <c r="U28" s="2059"/>
      <c r="V28" s="2059"/>
      <c r="W28" s="2059"/>
      <c r="X28" s="2059"/>
      <c r="Y28" s="2059"/>
      <c r="Z28" s="2059"/>
      <c r="AA28" s="2059"/>
      <c r="AB28" s="2059"/>
      <c r="AC28" s="2059"/>
      <c r="AD28" s="2059"/>
      <c r="AE28" s="2059"/>
      <c r="AF28" s="2059"/>
      <c r="AG28" s="2059"/>
      <c r="AH28" s="2059"/>
      <c r="AI28" s="2059"/>
      <c r="AJ28" s="2059"/>
      <c r="AK28" s="2059"/>
      <c r="AL28" s="2059"/>
      <c r="AM28" s="2059"/>
      <c r="AN28" s="2059"/>
      <c r="AO28" s="2059"/>
      <c r="AP28" s="2059"/>
      <c r="AQ28" s="2059"/>
      <c r="AR28" s="2059"/>
      <c r="AS28" s="1019"/>
    </row>
    <row r="29" spans="1:52" ht="14.25" hidden="1" customHeight="1">
      <c r="Q29" s="167"/>
      <c r="R29" s="261"/>
      <c r="S29" s="1059"/>
      <c r="T29" s="246"/>
      <c r="U29" s="246"/>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377"/>
    </row>
    <row r="30" spans="1:52" s="1692" customFormat="1" ht="25.5" hidden="1" customHeight="1">
      <c r="A30" s="1148"/>
      <c r="B30" s="1148"/>
      <c r="C30" s="1148"/>
      <c r="D30" s="1148"/>
      <c r="E30" s="1148"/>
      <c r="F30" s="1148"/>
      <c r="G30" s="1148"/>
      <c r="H30" s="1148"/>
      <c r="I30" s="1148"/>
      <c r="J30" s="1148"/>
      <c r="K30" s="1148"/>
      <c r="L30" s="1149"/>
      <c r="M30" s="1148"/>
      <c r="N30" s="1148"/>
      <c r="O30" s="1148"/>
      <c r="P30" s="1148"/>
      <c r="Q30" s="1148"/>
      <c r="S30" s="2101" t="s">
        <v>6</v>
      </c>
      <c r="T30" s="2101"/>
      <c r="U30" s="1152"/>
      <c r="V30" s="2103" t="e">
        <f>IF(TITLE_NAME_OR_PR_CHANGE="",IF(TITLE_NAME_OR_PR="","",TITLE_NAME_OR_PR),TITLE_NAME_OR_PR_CHANGE)</f>
        <v>#REF!</v>
      </c>
      <c r="W30" s="2103"/>
      <c r="X30" s="2103"/>
      <c r="Y30" s="2103"/>
      <c r="Z30" s="2103"/>
      <c r="AA30" s="209"/>
      <c r="AB30" s="2103" t="e">
        <f>IF(TITLE_NAME_OR_PR_CHANGE="",IF(TITLE_NAME_OR_PR="","",TITLE_NAME_OR_PR),TITLE_NAME_OR_PR_CHANGE)</f>
        <v>#REF!</v>
      </c>
      <c r="AC30" s="2103"/>
      <c r="AD30" s="2103"/>
      <c r="AE30" s="2103"/>
      <c r="AF30" s="2103"/>
      <c r="AG30" s="2103"/>
      <c r="AH30" s="2103"/>
      <c r="AI30" s="2103"/>
      <c r="AJ30" s="2103"/>
      <c r="AK30" s="2103"/>
      <c r="AL30" s="2103"/>
      <c r="AM30" s="2103"/>
      <c r="AN30" s="2103"/>
      <c r="AO30" s="2103"/>
      <c r="AP30" s="2103"/>
      <c r="AQ30" s="2103"/>
      <c r="AR30" s="2103"/>
      <c r="AS30" s="209"/>
      <c r="AT30" s="209"/>
      <c r="AU30" s="157"/>
      <c r="AV30" s="252"/>
      <c r="AW30" s="252"/>
      <c r="AX30" s="252"/>
      <c r="AY30" s="252"/>
      <c r="AZ30" s="252"/>
    </row>
    <row r="31" spans="1:52" s="1692" customFormat="1" ht="18.75" hidden="1" customHeight="1">
      <c r="A31" s="1148"/>
      <c r="B31" s="1148"/>
      <c r="C31" s="1148"/>
      <c r="D31" s="1148"/>
      <c r="E31" s="1148"/>
      <c r="F31" s="1148"/>
      <c r="G31" s="1148"/>
      <c r="H31" s="1148"/>
      <c r="I31" s="1148"/>
      <c r="J31" s="1148"/>
      <c r="K31" s="1148"/>
      <c r="L31" s="1149"/>
      <c r="M31" s="1148"/>
      <c r="N31" s="1148"/>
      <c r="O31" s="1148"/>
      <c r="P31" s="1148"/>
      <c r="Q31" s="1148"/>
      <c r="S31" s="2101" t="s">
        <v>349</v>
      </c>
      <c r="T31" s="2101"/>
      <c r="U31" s="1152"/>
      <c r="V31" s="2102" t="e">
        <f>IF(TITLE_DATE_PR_CHANGE="",IF(TITLE_DATE_PR="","",TITLE_DATE_PR),TITLE_DATE_PR_CHANGE)</f>
        <v>#REF!</v>
      </c>
      <c r="W31" s="2102"/>
      <c r="X31" s="2102"/>
      <c r="Y31" s="2102"/>
      <c r="Z31" s="2102"/>
      <c r="AA31" s="209"/>
      <c r="AB31" s="2102" t="e">
        <f>IF(TITLE_DATE_PR_CHANGE="",IF(TITLE_DATE_PR="","",TITLE_DATE_PR),TITLE_DATE_PR_CHANGE)</f>
        <v>#REF!</v>
      </c>
      <c r="AC31" s="2102"/>
      <c r="AD31" s="2102"/>
      <c r="AE31" s="2102"/>
      <c r="AF31" s="2102"/>
      <c r="AG31" s="2102"/>
      <c r="AH31" s="2102"/>
      <c r="AI31" s="2102"/>
      <c r="AJ31" s="2102"/>
      <c r="AK31" s="2102"/>
      <c r="AL31" s="2102"/>
      <c r="AM31" s="2102"/>
      <c r="AN31" s="2102"/>
      <c r="AO31" s="2102"/>
      <c r="AP31" s="2102"/>
      <c r="AQ31" s="2102"/>
      <c r="AR31" s="2102"/>
      <c r="AS31" s="209"/>
      <c r="AT31" s="209"/>
      <c r="AU31" s="157"/>
      <c r="AV31" s="252"/>
      <c r="AW31" s="252"/>
      <c r="AX31" s="252"/>
      <c r="AY31" s="252"/>
      <c r="AZ31" s="252"/>
    </row>
    <row r="32" spans="1:52" s="1692" customFormat="1" ht="18.75" hidden="1" customHeight="1">
      <c r="A32" s="1148"/>
      <c r="B32" s="1148"/>
      <c r="C32" s="1148"/>
      <c r="D32" s="1148"/>
      <c r="E32" s="1148"/>
      <c r="F32" s="1148"/>
      <c r="G32" s="1148"/>
      <c r="H32" s="1148"/>
      <c r="I32" s="1148"/>
      <c r="J32" s="1148"/>
      <c r="K32" s="1148"/>
      <c r="L32" s="1149"/>
      <c r="M32" s="1148"/>
      <c r="N32" s="1148"/>
      <c r="O32" s="1148"/>
      <c r="P32" s="1148"/>
      <c r="Q32" s="1148"/>
      <c r="S32" s="2101" t="s">
        <v>350</v>
      </c>
      <c r="T32" s="2101"/>
      <c r="U32" s="1152"/>
      <c r="V32" s="2103" t="e">
        <f>IF(TITLE_NUMBER_PR_CHANGE="",IF(TITLE_NUMBER_PR="","",TITLE_NUMBER_PR),TITLE_NUMBER_PR_CHANGE)</f>
        <v>#REF!</v>
      </c>
      <c r="W32" s="2103"/>
      <c r="X32" s="2103"/>
      <c r="Y32" s="2103"/>
      <c r="Z32" s="2103"/>
      <c r="AA32" s="209"/>
      <c r="AB32" s="2103" t="e">
        <f>IF(TITLE_NUMBER_PR_CHANGE="",IF(TITLE_NUMBER_PR="","",TITLE_NUMBER_PR),TITLE_NUMBER_PR_CHANGE)</f>
        <v>#REF!</v>
      </c>
      <c r="AC32" s="2103"/>
      <c r="AD32" s="2103"/>
      <c r="AE32" s="2103"/>
      <c r="AF32" s="2103"/>
      <c r="AG32" s="2103"/>
      <c r="AH32" s="2103"/>
      <c r="AI32" s="2103"/>
      <c r="AJ32" s="2103"/>
      <c r="AK32" s="2103"/>
      <c r="AL32" s="2103"/>
      <c r="AM32" s="2103"/>
      <c r="AN32" s="2103"/>
      <c r="AO32" s="2103"/>
      <c r="AP32" s="2103"/>
      <c r="AQ32" s="2103"/>
      <c r="AR32" s="2103"/>
      <c r="AS32" s="209"/>
      <c r="AT32" s="209"/>
      <c r="AU32" s="157"/>
      <c r="AV32" s="252"/>
      <c r="AW32" s="252"/>
      <c r="AX32" s="252"/>
      <c r="AY32" s="252"/>
      <c r="AZ32" s="252"/>
    </row>
    <row r="33" spans="1:52" s="1692" customFormat="1" ht="18.75" hidden="1" customHeight="1">
      <c r="A33" s="1148"/>
      <c r="B33" s="1148"/>
      <c r="C33" s="1148"/>
      <c r="D33" s="1148"/>
      <c r="E33" s="1148"/>
      <c r="F33" s="1148"/>
      <c r="G33" s="1148"/>
      <c r="H33" s="1148"/>
      <c r="I33" s="1148"/>
      <c r="J33" s="1148"/>
      <c r="K33" s="1148"/>
      <c r="L33" s="1149"/>
      <c r="M33" s="1148"/>
      <c r="N33" s="1148"/>
      <c r="O33" s="1148"/>
      <c r="P33" s="1148"/>
      <c r="Q33" s="1148"/>
      <c r="S33" s="2101" t="s">
        <v>7</v>
      </c>
      <c r="T33" s="2101"/>
      <c r="U33" s="1152"/>
      <c r="V33" s="2103" t="e">
        <f>IF(TITLE_IST_PUB_CHANGE="",IF(TITLE_IST_PUB="","",TITLE_IST_PUB),TITLE_IST_PUB_CHANGE)</f>
        <v>#REF!</v>
      </c>
      <c r="W33" s="2103"/>
      <c r="X33" s="2103"/>
      <c r="Y33" s="2103"/>
      <c r="Z33" s="2103"/>
      <c r="AA33" s="209"/>
      <c r="AB33" s="2103" t="e">
        <f>IF(TITLE_IST_PUB_CHANGE="",IF(TITLE_IST_PUB="","",TITLE_IST_PUB),TITLE_IST_PUB_CHANGE)</f>
        <v>#REF!</v>
      </c>
      <c r="AC33" s="2103"/>
      <c r="AD33" s="2103"/>
      <c r="AE33" s="2103"/>
      <c r="AF33" s="2103"/>
      <c r="AG33" s="2103"/>
      <c r="AH33" s="2103"/>
      <c r="AI33" s="2103"/>
      <c r="AJ33" s="2103"/>
      <c r="AK33" s="2103"/>
      <c r="AL33" s="2103"/>
      <c r="AM33" s="2103"/>
      <c r="AN33" s="2103"/>
      <c r="AO33" s="2103"/>
      <c r="AP33" s="2103"/>
      <c r="AQ33" s="2103"/>
      <c r="AR33" s="2103"/>
      <c r="AS33" s="209"/>
      <c r="AT33" s="209"/>
      <c r="AU33" s="157"/>
      <c r="AV33" s="252"/>
      <c r="AW33" s="252"/>
      <c r="AX33" s="252"/>
      <c r="AY33" s="252"/>
      <c r="AZ33" s="252"/>
    </row>
    <row r="34" spans="1:52" ht="14.25" hidden="1" customHeight="1">
      <c r="Q34" s="167"/>
      <c r="R34" s="261"/>
      <c r="S34" s="1059"/>
      <c r="T34" s="246"/>
      <c r="U34" s="246"/>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377"/>
    </row>
    <row r="35" spans="1:52" s="1692" customFormat="1" ht="18.75" hidden="1" customHeight="1">
      <c r="A35" s="1148"/>
      <c r="B35" s="1148"/>
      <c r="C35" s="1148"/>
      <c r="D35" s="1148"/>
      <c r="E35" s="1148"/>
      <c r="F35" s="1148"/>
      <c r="G35" s="1148"/>
      <c r="H35" s="1148"/>
      <c r="I35" s="1148"/>
      <c r="J35" s="1148"/>
      <c r="K35" s="1148"/>
      <c r="L35" s="1149"/>
      <c r="M35" s="1148"/>
      <c r="N35" s="1148"/>
      <c r="O35" s="1148"/>
      <c r="P35" s="1148"/>
      <c r="Q35" s="1148"/>
      <c r="S35" s="2101" t="s">
        <v>349</v>
      </c>
      <c r="T35" s="2101"/>
      <c r="U35" s="1152"/>
      <c r="V35" s="2102" t="e">
        <f>IF(TITLE_DATE_PR_CHANGE="",IF(TITLE_DATE_PR="","",TITLE_DATE_PR),TITLE_DATE_PR_CHANGE)</f>
        <v>#REF!</v>
      </c>
      <c r="W35" s="2102"/>
      <c r="X35" s="2102"/>
      <c r="Y35" s="2102"/>
      <c r="Z35" s="2102"/>
      <c r="AA35" s="209"/>
      <c r="AB35" s="2102" t="e">
        <f>IF(TITLE_DATE_PR_CHANGE="",IF(TITLE_DATE_PR="","",TITLE_DATE_PR),TITLE_DATE_PR_CHANGE)</f>
        <v>#REF!</v>
      </c>
      <c r="AC35" s="2102"/>
      <c r="AD35" s="2102"/>
      <c r="AE35" s="2102"/>
      <c r="AF35" s="2102"/>
      <c r="AG35" s="2102"/>
      <c r="AH35" s="2102"/>
      <c r="AI35" s="2102"/>
      <c r="AJ35" s="2102"/>
      <c r="AK35" s="2102"/>
      <c r="AL35" s="2102"/>
      <c r="AM35" s="2102"/>
      <c r="AN35" s="2102"/>
      <c r="AO35" s="2102"/>
      <c r="AP35" s="2102"/>
      <c r="AQ35" s="2102"/>
      <c r="AR35" s="2102"/>
      <c r="AS35" s="209"/>
      <c r="AT35" s="209"/>
      <c r="AU35" s="157"/>
      <c r="AV35" s="252"/>
      <c r="AW35" s="252"/>
      <c r="AX35" s="252"/>
      <c r="AY35" s="252"/>
      <c r="AZ35" s="252"/>
    </row>
    <row r="36" spans="1:52" s="1692" customFormat="1" ht="18" hidden="1" customHeight="1">
      <c r="A36" s="1148"/>
      <c r="B36" s="1148"/>
      <c r="C36" s="1148"/>
      <c r="D36" s="1148"/>
      <c r="E36" s="1148"/>
      <c r="F36" s="1148"/>
      <c r="G36" s="1148"/>
      <c r="H36" s="1148"/>
      <c r="I36" s="1148"/>
      <c r="J36" s="1148"/>
      <c r="K36" s="1148"/>
      <c r="L36" s="1149"/>
      <c r="M36" s="1148"/>
      <c r="N36" s="1148"/>
      <c r="O36" s="1148"/>
      <c r="P36" s="1148"/>
      <c r="Q36" s="1148"/>
      <c r="S36" s="2101" t="s">
        <v>350</v>
      </c>
      <c r="T36" s="2101"/>
      <c r="U36" s="1152"/>
      <c r="V36" s="2103" t="e">
        <f>IF(TITLE_NUMBER_PR_CHANGE="",IF(TITLE_NUMBER_PR="","",TITLE_NUMBER_PR),TITLE_NUMBER_PR_CHANGE)</f>
        <v>#REF!</v>
      </c>
      <c r="W36" s="2103"/>
      <c r="X36" s="2103"/>
      <c r="Y36" s="2103"/>
      <c r="Z36" s="2103"/>
      <c r="AA36" s="209"/>
      <c r="AB36" s="2103" t="e">
        <f>IF(TITLE_NUMBER_PR_CHANGE="",IF(TITLE_NUMBER_PR="","",TITLE_NUMBER_PR),TITLE_NUMBER_PR_CHANGE)</f>
        <v>#REF!</v>
      </c>
      <c r="AC36" s="2103"/>
      <c r="AD36" s="2103"/>
      <c r="AE36" s="2103"/>
      <c r="AF36" s="2103"/>
      <c r="AG36" s="2103"/>
      <c r="AH36" s="2103"/>
      <c r="AI36" s="2103"/>
      <c r="AJ36" s="2103"/>
      <c r="AK36" s="2103"/>
      <c r="AL36" s="2103"/>
      <c r="AM36" s="2103"/>
      <c r="AN36" s="2103"/>
      <c r="AO36" s="2103"/>
      <c r="AP36" s="2103"/>
      <c r="AQ36" s="2103"/>
      <c r="AR36" s="2103"/>
      <c r="AS36" s="209"/>
      <c r="AT36" s="209"/>
      <c r="AU36" s="157"/>
      <c r="AV36" s="252"/>
      <c r="AW36" s="252"/>
      <c r="AX36" s="252"/>
      <c r="AY36" s="252"/>
      <c r="AZ36" s="252"/>
    </row>
    <row r="37" spans="1:52" s="1692" customFormat="1" ht="0.75" customHeight="1">
      <c r="A37" s="1148"/>
      <c r="B37" s="1148"/>
      <c r="C37" s="1148"/>
      <c r="D37" s="1148"/>
      <c r="E37" s="1148"/>
      <c r="F37" s="1148"/>
      <c r="G37" s="1148"/>
      <c r="H37" s="1148"/>
      <c r="I37" s="1148"/>
      <c r="J37" s="1148"/>
      <c r="K37" s="1148"/>
      <c r="L37" s="1149"/>
      <c r="M37" s="1148"/>
      <c r="N37" s="1148"/>
      <c r="O37" s="1148"/>
      <c r="P37" s="1148"/>
      <c r="Q37" s="1148"/>
      <c r="S37" s="205"/>
      <c r="T37" s="205"/>
      <c r="U37" s="1121"/>
      <c r="V37" s="209"/>
      <c r="W37" s="209"/>
      <c r="X37" s="209"/>
      <c r="Y37" s="209"/>
      <c r="Z37" s="209"/>
      <c r="AA37" s="155" t="s">
        <v>353</v>
      </c>
      <c r="AB37" s="209"/>
      <c r="AC37" s="209"/>
      <c r="AD37" s="209"/>
      <c r="AE37" s="209"/>
      <c r="AF37" s="209"/>
      <c r="AG37" s="209"/>
      <c r="AH37" s="209"/>
      <c r="AI37" s="209"/>
      <c r="AJ37" s="209"/>
      <c r="AK37" s="209"/>
      <c r="AL37" s="209"/>
      <c r="AM37" s="209"/>
      <c r="AN37" s="209"/>
      <c r="AO37" s="209"/>
      <c r="AP37" s="209"/>
      <c r="AQ37" s="209"/>
      <c r="AR37" s="209"/>
      <c r="AS37" s="155" t="s">
        <v>353</v>
      </c>
      <c r="AV37" s="252"/>
      <c r="AW37" s="252"/>
      <c r="AX37" s="252"/>
      <c r="AY37" s="252"/>
      <c r="AZ37" s="252"/>
    </row>
    <row r="38" spans="1:52" ht="14.25" customHeight="1">
      <c r="Q38" s="167"/>
      <c r="R38" s="261"/>
      <c r="S38" s="1059"/>
      <c r="T38" s="246"/>
      <c r="U38" s="1020"/>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r="39" spans="1:52" ht="14.25" customHeight="1">
      <c r="Q39" s="167"/>
      <c r="R39" s="261"/>
      <c r="S39" s="2025" t="s">
        <v>224</v>
      </c>
      <c r="T39" s="2025"/>
      <c r="U39" s="2025"/>
      <c r="V39" s="2025"/>
      <c r="W39" s="2025"/>
      <c r="X39" s="2025"/>
      <c r="Y39" s="2025"/>
      <c r="Z39" s="2025"/>
      <c r="AA39" s="2025"/>
      <c r="AB39" s="2036"/>
      <c r="AC39" s="2036"/>
      <c r="AD39" s="2036"/>
      <c r="AE39" s="2036"/>
      <c r="AF39" s="2025"/>
      <c r="AG39" s="2025"/>
      <c r="AH39" s="2025"/>
      <c r="AI39" s="2025"/>
      <c r="AJ39" s="2025"/>
      <c r="AK39" s="2025"/>
      <c r="AL39" s="2025"/>
      <c r="AM39" s="2025"/>
      <c r="AN39" s="2025"/>
      <c r="AO39" s="2025"/>
      <c r="AP39" s="2025"/>
      <c r="AQ39" s="2025"/>
      <c r="AR39" s="2025"/>
      <c r="AS39" s="2025"/>
      <c r="AT39" s="2025"/>
      <c r="AU39" s="2025" t="s">
        <v>225</v>
      </c>
    </row>
    <row r="40" spans="1:52" ht="14.25" customHeight="1">
      <c r="Q40" s="167"/>
      <c r="R40" s="261"/>
      <c r="S40" s="2124" t="s">
        <v>22</v>
      </c>
      <c r="T40" s="2068" t="s">
        <v>398</v>
      </c>
      <c r="U40" s="176"/>
      <c r="V40" s="2126"/>
      <c r="W40" s="2126"/>
      <c r="X40" s="2126"/>
      <c r="Y40" s="2126"/>
      <c r="Z40" s="2127"/>
      <c r="AA40" s="2166" t="s">
        <v>356</v>
      </c>
      <c r="AB40" s="2150" t="s">
        <v>399</v>
      </c>
      <c r="AC40" s="2139"/>
      <c r="AD40" s="2139"/>
      <c r="AE40" s="2151"/>
      <c r="AF40" s="2139" t="s">
        <v>400</v>
      </c>
      <c r="AG40" s="2139"/>
      <c r="AH40" s="2139"/>
      <c r="AI40" s="2151"/>
      <c r="AJ40" s="2150" t="s">
        <v>401</v>
      </c>
      <c r="AK40" s="2139"/>
      <c r="AL40" s="2139"/>
      <c r="AM40" s="2151"/>
      <c r="AN40" s="2150" t="s">
        <v>355</v>
      </c>
      <c r="AO40" s="2139"/>
      <c r="AP40" s="2126"/>
      <c r="AQ40" s="2126"/>
      <c r="AR40" s="2127"/>
      <c r="AS40" s="2128" t="s">
        <v>356</v>
      </c>
      <c r="AT40" s="2131" t="s">
        <v>358</v>
      </c>
      <c r="AU40" s="2025"/>
    </row>
    <row r="41" spans="1:52" ht="33.75" customHeight="1">
      <c r="Q41" s="167"/>
      <c r="R41" s="261"/>
      <c r="S41" s="2124"/>
      <c r="T41" s="2068"/>
      <c r="U41" s="814"/>
      <c r="V41" s="2037" t="s">
        <v>402</v>
      </c>
      <c r="W41" s="2038"/>
      <c r="X41" s="2037" t="s">
        <v>362</v>
      </c>
      <c r="Y41" s="2144"/>
      <c r="Z41" s="2038"/>
      <c r="AA41" s="2167"/>
      <c r="AB41" s="2152"/>
      <c r="AC41" s="2153"/>
      <c r="AD41" s="2153"/>
      <c r="AE41" s="2165"/>
      <c r="AF41" s="2153"/>
      <c r="AG41" s="2153"/>
      <c r="AH41" s="2153"/>
      <c r="AI41" s="2165"/>
      <c r="AJ41" s="2152"/>
      <c r="AK41" s="2153"/>
      <c r="AL41" s="2153"/>
      <c r="AM41" s="2153"/>
      <c r="AN41" s="2025" t="s">
        <v>403</v>
      </c>
      <c r="AO41" s="2025"/>
      <c r="AP41" s="2144" t="s">
        <v>362</v>
      </c>
      <c r="AQ41" s="2144"/>
      <c r="AR41" s="2038"/>
      <c r="AS41" s="2129"/>
      <c r="AT41" s="2132"/>
      <c r="AU41" s="2025"/>
    </row>
    <row r="42" spans="1:52" ht="14.25" customHeight="1">
      <c r="Q42" s="167"/>
      <c r="R42" s="261"/>
      <c r="S42" s="2124"/>
      <c r="T42" s="2068"/>
      <c r="U42" s="814"/>
      <c r="V42" s="2042"/>
      <c r="W42" s="2043"/>
      <c r="X42" s="2042"/>
      <c r="Y42" s="2145"/>
      <c r="Z42" s="2043"/>
      <c r="AA42" s="2167"/>
      <c r="AB42" s="2152"/>
      <c r="AC42" s="2153"/>
      <c r="AD42" s="2153"/>
      <c r="AE42" s="2165"/>
      <c r="AF42" s="2153"/>
      <c r="AG42" s="2153"/>
      <c r="AH42" s="2153"/>
      <c r="AI42" s="2165"/>
      <c r="AJ42" s="2152"/>
      <c r="AK42" s="2153"/>
      <c r="AL42" s="2153"/>
      <c r="AM42" s="2153"/>
      <c r="AN42" s="2169"/>
      <c r="AO42" s="2169"/>
      <c r="AP42" s="2145"/>
      <c r="AQ42" s="2145"/>
      <c r="AR42" s="2043"/>
      <c r="AS42" s="2129"/>
      <c r="AT42" s="2132"/>
      <c r="AU42" s="2025"/>
    </row>
    <row r="43" spans="1:52" ht="14.25" customHeight="1">
      <c r="A43" s="1150"/>
      <c r="B43" s="1150" t="s">
        <v>73</v>
      </c>
      <c r="C43" s="1150" t="s">
        <v>74</v>
      </c>
      <c r="D43" s="1150" t="s">
        <v>75</v>
      </c>
      <c r="E43" s="1144" t="s">
        <v>363</v>
      </c>
      <c r="F43" s="1144" t="s">
        <v>364</v>
      </c>
      <c r="G43" s="1144" t="s">
        <v>365</v>
      </c>
      <c r="H43" s="1144" t="s">
        <v>366</v>
      </c>
      <c r="I43" s="1144" t="s">
        <v>367</v>
      </c>
      <c r="J43" s="1144" t="s">
        <v>368</v>
      </c>
      <c r="K43" s="1144" t="s">
        <v>369</v>
      </c>
      <c r="L43" s="1144" t="s">
        <v>344</v>
      </c>
      <c r="Q43" s="167"/>
      <c r="R43" s="261"/>
      <c r="S43" s="2124"/>
      <c r="T43" s="2068"/>
      <c r="U43" s="177"/>
      <c r="V43" s="1111" t="s">
        <v>404</v>
      </c>
      <c r="W43" s="1111" t="s">
        <v>405</v>
      </c>
      <c r="X43" s="1119" t="s">
        <v>372</v>
      </c>
      <c r="Y43" s="2073" t="s">
        <v>373</v>
      </c>
      <c r="Z43" s="2087"/>
      <c r="AA43" s="2168"/>
      <c r="AB43" s="2154"/>
      <c r="AC43" s="2155"/>
      <c r="AD43" s="2155"/>
      <c r="AE43" s="2156"/>
      <c r="AF43" s="2155"/>
      <c r="AG43" s="2155"/>
      <c r="AH43" s="2155"/>
      <c r="AI43" s="2156"/>
      <c r="AJ43" s="2154"/>
      <c r="AK43" s="2155"/>
      <c r="AL43" s="2155"/>
      <c r="AM43" s="2156"/>
      <c r="AN43" s="1592" t="s">
        <v>404</v>
      </c>
      <c r="AO43" s="1592" t="s">
        <v>405</v>
      </c>
      <c r="AP43" s="1119" t="s">
        <v>372</v>
      </c>
      <c r="AQ43" s="2073" t="s">
        <v>373</v>
      </c>
      <c r="AR43" s="2087"/>
      <c r="AS43" s="2130"/>
      <c r="AT43" s="2133"/>
      <c r="AU43" s="2025"/>
    </row>
    <row r="44" spans="1:52" s="1621" customFormat="1" ht="11.25" hidden="1" customHeight="1">
      <c r="A44" s="1150"/>
      <c r="B44" s="1150"/>
      <c r="C44" s="1150"/>
      <c r="D44" s="1150"/>
      <c r="E44" s="1150"/>
      <c r="F44" s="1150"/>
      <c r="G44" s="1150"/>
      <c r="H44" s="1150"/>
      <c r="I44" s="1150"/>
      <c r="J44" s="1150"/>
      <c r="K44" s="1150"/>
      <c r="L44" s="1144"/>
      <c r="M44" s="1142"/>
      <c r="N44" s="1142"/>
      <c r="O44" s="1142"/>
      <c r="P44" s="378"/>
      <c r="Q44" s="1038"/>
      <c r="R44" s="1038">
        <v>1</v>
      </c>
      <c r="S44" s="1061" t="s">
        <v>43</v>
      </c>
      <c r="T44" s="1039" t="s">
        <v>44</v>
      </c>
      <c r="U44" s="1021" t="str">
        <f ca="1">OFFSET(U44,0,-1)</f>
        <v>2</v>
      </c>
      <c r="V44" s="1116">
        <f ca="1">OFFSET(V44,0,-1)+1</f>
        <v>3</v>
      </c>
      <c r="W44" s="1116">
        <f ca="1">OFFSET(W44,0,-1)+1</f>
        <v>4</v>
      </c>
      <c r="X44" s="1116">
        <f ca="1">OFFSET(X44,0,-1)+1</f>
        <v>5</v>
      </c>
      <c r="Y44" s="2122">
        <f ca="1">OFFSET(Y44,0,-1)+1</f>
        <v>6</v>
      </c>
      <c r="Z44" s="2122"/>
      <c r="AA44" s="1116">
        <f ca="1">OFFSET(AA44,0,-2)+1</f>
        <v>7</v>
      </c>
      <c r="AB44" s="1122">
        <f ca="1">OFFSET(AB44,0,-1)+1</f>
        <v>8</v>
      </c>
      <c r="AC44" s="1122"/>
      <c r="AD44" s="1122"/>
      <c r="AE44" s="1122"/>
      <c r="AF44" s="1116"/>
      <c r="AG44" s="1116"/>
      <c r="AH44" s="1116"/>
      <c r="AI44" s="1116"/>
      <c r="AJ44" s="1116"/>
      <c r="AK44" s="1116"/>
      <c r="AL44" s="1116"/>
      <c r="AM44" s="1116"/>
      <c r="AN44" s="1116">
        <f ca="1">OFFSET(AN44,0,-1)+1</f>
        <v>1</v>
      </c>
      <c r="AO44" s="1116">
        <f ca="1">OFFSET(AO44,0,-1)+1</f>
        <v>2</v>
      </c>
      <c r="AP44" s="1116">
        <f ca="1">OFFSET(AP44,0,-1)+1</f>
        <v>3</v>
      </c>
      <c r="AQ44" s="2122">
        <f ca="1">OFFSET(AQ44,0,-1)+1</f>
        <v>4</v>
      </c>
      <c r="AR44" s="2122"/>
      <c r="AS44" s="1116">
        <f ca="1">OFFSET(AS44,0,-2)+1</f>
        <v>5</v>
      </c>
      <c r="AT44" s="1021">
        <f ca="1">OFFSET(AT44,0,-1)</f>
        <v>5</v>
      </c>
      <c r="AU44" s="1116">
        <f ca="1">OFFSET(AU44,0,-1)+1</f>
        <v>6</v>
      </c>
      <c r="AV44" s="379"/>
      <c r="AW44" s="379"/>
      <c r="AX44" s="379"/>
      <c r="AY44" s="379"/>
      <c r="AZ44" s="379"/>
    </row>
    <row r="45" spans="1:52" ht="102" customHeight="1">
      <c r="A45" s="1143" t="s">
        <v>136</v>
      </c>
      <c r="B45" s="1143"/>
      <c r="C45" s="1143"/>
      <c r="D45" s="1143"/>
      <c r="E45" s="2111">
        <v>1</v>
      </c>
      <c r="F45" s="1143"/>
      <c r="G45" s="1143"/>
      <c r="H45" s="1143"/>
      <c r="I45" s="1143"/>
      <c r="J45" s="1143"/>
      <c r="K45" s="1143"/>
      <c r="L45" s="1144"/>
      <c r="M45" s="1145"/>
      <c r="N45" s="1145"/>
      <c r="O45" s="1145"/>
      <c r="P45" s="1189"/>
      <c r="Q45" s="669"/>
      <c r="R45" s="236"/>
      <c r="S45" s="1117">
        <f>INDEX(PT_DIFFERENTIATION_NUM_NTAR,MATCH(A45,PT_DIFFERENTIATION_NTAR_ID,0))</f>
        <v>0</v>
      </c>
      <c r="T45" s="173" t="s">
        <v>61</v>
      </c>
      <c r="U45" s="175"/>
      <c r="V45" s="2105"/>
      <c r="W45" s="2105"/>
      <c r="X45" s="2105"/>
      <c r="Y45" s="2105"/>
      <c r="Z45" s="2105"/>
      <c r="AA45" s="2106"/>
      <c r="AB45" s="2104" t="str">
        <f>INDEX(PT_DIFFERENTIATION_NTAR,MATCH(A45,PT_DIFFERENTIATION_NTAR_ID,0))</f>
        <v/>
      </c>
      <c r="AC45" s="2105"/>
      <c r="AD45" s="2105"/>
      <c r="AE45" s="2105"/>
      <c r="AF45" s="2105"/>
      <c r="AG45" s="2105"/>
      <c r="AH45" s="2105"/>
      <c r="AI45" s="2105"/>
      <c r="AJ45" s="2105"/>
      <c r="AK45" s="2105"/>
      <c r="AL45" s="2105"/>
      <c r="AM45" s="2105"/>
      <c r="AN45" s="2105"/>
      <c r="AO45" s="2105"/>
      <c r="AP45" s="2105"/>
      <c r="AQ45" s="2105"/>
      <c r="AR45" s="2105"/>
      <c r="AS45" s="2105"/>
      <c r="AT45" s="2106"/>
      <c r="AU45" s="104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368"/>
      <c r="AX45" s="368" t="str">
        <f t="shared" ref="AX45:AX51" si="2">IF(T45="","",T45)</f>
        <v>Наименование тарифа</v>
      </c>
      <c r="AY45" s="368"/>
      <c r="AZ45" s="368"/>
    </row>
    <row r="46" spans="1:52" ht="21" customHeight="1">
      <c r="A46" s="1143" t="s">
        <v>136</v>
      </c>
      <c r="B46" s="1143" t="s">
        <v>137</v>
      </c>
      <c r="C46" s="1143"/>
      <c r="D46" s="1143"/>
      <c r="E46" s="2112"/>
      <c r="F46" s="2111">
        <v>1</v>
      </c>
      <c r="G46" s="1143"/>
      <c r="H46" s="1143"/>
      <c r="I46" s="1143"/>
      <c r="J46" s="1143"/>
      <c r="K46" s="1143"/>
      <c r="L46" s="1144"/>
      <c r="M46" s="1145"/>
      <c r="N46" s="1145"/>
      <c r="O46" s="1145"/>
      <c r="P46" s="1190"/>
      <c r="Q46" s="1191"/>
      <c r="R46" s="234"/>
      <c r="S46" s="1117" t="str">
        <f>INDEX(PT_DIFFERENTIATION_NUM_TER,MATCH(B46,PT_DIFFERENTIATION_TER_ID,0))</f>
        <v>.</v>
      </c>
      <c r="T46" s="185" t="s">
        <v>323</v>
      </c>
      <c r="U46" s="175"/>
      <c r="V46" s="2105"/>
      <c r="W46" s="2105"/>
      <c r="X46" s="2105"/>
      <c r="Y46" s="2105"/>
      <c r="Z46" s="2105"/>
      <c r="AA46" s="2106"/>
      <c r="AB46" s="2104" t="str">
        <f>INDEX(PT_DIFFERENTIATION_TER,MATCH(B46,PT_DIFFERENTIATION_TER_ID,0))</f>
        <v/>
      </c>
      <c r="AC46" s="2105"/>
      <c r="AD46" s="2105"/>
      <c r="AE46" s="2105"/>
      <c r="AF46" s="2105"/>
      <c r="AG46" s="2105"/>
      <c r="AH46" s="2105"/>
      <c r="AI46" s="2105"/>
      <c r="AJ46" s="2105"/>
      <c r="AK46" s="2105"/>
      <c r="AL46" s="2105"/>
      <c r="AM46" s="2105"/>
      <c r="AN46" s="2105"/>
      <c r="AO46" s="2105"/>
      <c r="AP46" s="2105"/>
      <c r="AQ46" s="2105"/>
      <c r="AR46" s="2105"/>
      <c r="AS46" s="2105"/>
      <c r="AT46" s="2106"/>
      <c r="AU46" s="1044" t="s">
        <v>324</v>
      </c>
      <c r="AW46" s="368"/>
      <c r="AX46" s="368" t="str">
        <f t="shared" si="2"/>
        <v>Территория действия тарифа</v>
      </c>
      <c r="AY46" s="368"/>
      <c r="AZ46" s="368"/>
    </row>
    <row r="47" spans="1:52" ht="23.25" customHeight="1">
      <c r="A47" s="1143" t="s">
        <v>136</v>
      </c>
      <c r="B47" s="1143" t="s">
        <v>137</v>
      </c>
      <c r="C47" s="1143" t="s">
        <v>138</v>
      </c>
      <c r="D47" s="1143"/>
      <c r="E47" s="2112"/>
      <c r="F47" s="2112"/>
      <c r="G47" s="2111">
        <v>1</v>
      </c>
      <c r="H47" s="1143"/>
      <c r="I47" s="1143"/>
      <c r="J47" s="1143"/>
      <c r="K47" s="1143"/>
      <c r="L47" s="1144"/>
      <c r="M47" s="1145"/>
      <c r="N47" s="1145"/>
      <c r="O47" s="1145"/>
      <c r="P47" s="1192"/>
      <c r="Q47" s="1191"/>
      <c r="R47" s="234"/>
      <c r="S47" s="1117" t="str">
        <f>INDEX(PT_DIFFERENTIATION_NUM_CS,MATCH(C47,PT_DIFFERENTIATION_CS_ID,0))</f>
        <v>..</v>
      </c>
      <c r="T47" s="186" t="s">
        <v>325</v>
      </c>
      <c r="U47" s="175"/>
      <c r="V47" s="2105"/>
      <c r="W47" s="2105"/>
      <c r="X47" s="2105"/>
      <c r="Y47" s="2105"/>
      <c r="Z47" s="2105"/>
      <c r="AA47" s="2106"/>
      <c r="AB47" s="2104" t="str">
        <f>INDEX(PT_DIFFERENTIATION_CS,MATCH(C47,PT_DIFFERENTIATION_CS_ID,0))</f>
        <v/>
      </c>
      <c r="AC47" s="2105"/>
      <c r="AD47" s="2105"/>
      <c r="AE47" s="2105"/>
      <c r="AF47" s="2105"/>
      <c r="AG47" s="2105"/>
      <c r="AH47" s="2105"/>
      <c r="AI47" s="2105"/>
      <c r="AJ47" s="2105"/>
      <c r="AK47" s="2105"/>
      <c r="AL47" s="2105"/>
      <c r="AM47" s="2105"/>
      <c r="AN47" s="2105"/>
      <c r="AO47" s="2105"/>
      <c r="AP47" s="2105"/>
      <c r="AQ47" s="2105"/>
      <c r="AR47" s="2105"/>
      <c r="AS47" s="2105"/>
      <c r="AT47" s="2106"/>
      <c r="AU47" s="1044" t="s">
        <v>326</v>
      </c>
      <c r="AW47" s="368"/>
      <c r="AX47" s="368" t="str">
        <f t="shared" si="2"/>
        <v xml:space="preserve">Наименование системы теплоснабжения </v>
      </c>
      <c r="AY47" s="368"/>
      <c r="AZ47" s="368"/>
    </row>
    <row r="48" spans="1:52" ht="21" customHeight="1">
      <c r="A48" s="1143" t="s">
        <v>136</v>
      </c>
      <c r="B48" s="1143" t="s">
        <v>137</v>
      </c>
      <c r="C48" s="1143" t="s">
        <v>138</v>
      </c>
      <c r="D48" s="1143" t="s">
        <v>139</v>
      </c>
      <c r="E48" s="2112"/>
      <c r="F48" s="2112"/>
      <c r="G48" s="2112"/>
      <c r="H48" s="2111">
        <v>1</v>
      </c>
      <c r="I48" s="1143"/>
      <c r="J48" s="1143"/>
      <c r="K48" s="1143"/>
      <c r="L48" s="1144"/>
      <c r="M48" s="1145"/>
      <c r="N48" s="1145"/>
      <c r="O48" s="1145"/>
      <c r="P48" s="1192"/>
      <c r="Q48" s="1191"/>
      <c r="R48" s="234"/>
      <c r="S48" s="1117" t="str">
        <f>INDEX(PT_DIFFERENTIATION_NUM_IST_TE,MATCH(D48,PT_DIFFERENTIATION_IST_TE_ID,0))</f>
        <v>...</v>
      </c>
      <c r="T48" s="187" t="s">
        <v>327</v>
      </c>
      <c r="U48" s="175"/>
      <c r="V48" s="2105"/>
      <c r="W48" s="2105"/>
      <c r="X48" s="2105"/>
      <c r="Y48" s="2105"/>
      <c r="Z48" s="2105"/>
      <c r="AA48" s="2106"/>
      <c r="AB48" s="2104" t="str">
        <f>INDEX(PT_DIFFERENTIATION_IST_TE,MATCH(D48,PT_DIFFERENTIATION_IST_TE_ID,0))</f>
        <v/>
      </c>
      <c r="AC48" s="2105"/>
      <c r="AD48" s="2105"/>
      <c r="AE48" s="2105"/>
      <c r="AF48" s="2105"/>
      <c r="AG48" s="2105"/>
      <c r="AH48" s="2105"/>
      <c r="AI48" s="2105"/>
      <c r="AJ48" s="2105"/>
      <c r="AK48" s="2105"/>
      <c r="AL48" s="2105"/>
      <c r="AM48" s="2105"/>
      <c r="AN48" s="2105"/>
      <c r="AO48" s="2105"/>
      <c r="AP48" s="2105"/>
      <c r="AQ48" s="2105"/>
      <c r="AR48" s="2105"/>
      <c r="AS48" s="2105"/>
      <c r="AT48" s="2106"/>
      <c r="AU48" s="1044" t="s">
        <v>328</v>
      </c>
      <c r="AW48" s="368"/>
      <c r="AX48" s="368" t="str">
        <f t="shared" si="2"/>
        <v xml:space="preserve">Источник тепловой энергии  </v>
      </c>
      <c r="AY48" s="368"/>
      <c r="AZ48" s="368"/>
    </row>
    <row r="49" spans="1:52" s="1622" customFormat="1" ht="0" hidden="1" customHeight="1">
      <c r="A49" s="1124" t="s">
        <v>136</v>
      </c>
      <c r="B49" s="1124" t="s">
        <v>137</v>
      </c>
      <c r="C49" s="1124" t="s">
        <v>138</v>
      </c>
      <c r="D49" s="1124" t="s">
        <v>139</v>
      </c>
      <c r="E49" s="2112"/>
      <c r="F49" s="2112"/>
      <c r="G49" s="2112"/>
      <c r="H49" s="2112"/>
      <c r="I49" s="2113" t="str">
        <f>S48&amp;".1"</f>
        <v>....1</v>
      </c>
      <c r="J49" s="1124"/>
      <c r="K49" s="1124"/>
      <c r="L49" s="1127" t="s">
        <v>329</v>
      </c>
      <c r="M49" s="378"/>
      <c r="N49" s="378"/>
      <c r="O49" s="378"/>
      <c r="P49" s="2115">
        <v>1</v>
      </c>
      <c r="Q49" s="1112"/>
      <c r="R49" s="237"/>
      <c r="S49" s="825"/>
      <c r="T49" s="1163"/>
      <c r="U49" s="1164"/>
      <c r="V49" s="2141"/>
      <c r="W49" s="2141"/>
      <c r="X49" s="2141"/>
      <c r="Y49" s="2141"/>
      <c r="Z49" s="2141"/>
      <c r="AA49" s="2142"/>
      <c r="AB49" s="2140"/>
      <c r="AC49" s="2141"/>
      <c r="AD49" s="2141"/>
      <c r="AE49" s="2141"/>
      <c r="AF49" s="2141"/>
      <c r="AG49" s="2141"/>
      <c r="AH49" s="2141"/>
      <c r="AI49" s="2141"/>
      <c r="AJ49" s="2141"/>
      <c r="AK49" s="2141"/>
      <c r="AL49" s="2141"/>
      <c r="AM49" s="2141"/>
      <c r="AN49" s="2141"/>
      <c r="AO49" s="2141"/>
      <c r="AP49" s="2141"/>
      <c r="AQ49" s="2141"/>
      <c r="AR49" s="2141"/>
      <c r="AS49" s="2141"/>
      <c r="AT49" s="2142"/>
      <c r="AU49" s="1165"/>
      <c r="AW49" s="368"/>
      <c r="AX49" s="368" t="str">
        <f t="shared" si="2"/>
        <v/>
      </c>
      <c r="AY49" s="368"/>
      <c r="AZ49" s="368"/>
    </row>
    <row r="50" spans="1:52" s="1622" customFormat="1" ht="0" hidden="1" customHeight="1">
      <c r="A50" s="1124" t="s">
        <v>136</v>
      </c>
      <c r="B50" s="1124" t="s">
        <v>137</v>
      </c>
      <c r="C50" s="1124" t="s">
        <v>138</v>
      </c>
      <c r="D50" s="1124" t="s">
        <v>139</v>
      </c>
      <c r="E50" s="2112"/>
      <c r="F50" s="2112"/>
      <c r="G50" s="2112"/>
      <c r="H50" s="2112"/>
      <c r="I50" s="2114"/>
      <c r="J50" s="2113" t="str">
        <f>S48&amp;".1"</f>
        <v>....1</v>
      </c>
      <c r="K50" s="1124"/>
      <c r="L50" s="1127"/>
      <c r="M50" s="378"/>
      <c r="N50" s="378"/>
      <c r="O50" s="378"/>
      <c r="P50" s="2115"/>
      <c r="Q50" s="2115">
        <v>1</v>
      </c>
      <c r="R50" s="238"/>
      <c r="S50" s="825"/>
      <c r="T50" s="1179"/>
      <c r="U50" s="1164"/>
      <c r="V50" s="2141"/>
      <c r="W50" s="2141"/>
      <c r="X50" s="2141"/>
      <c r="Y50" s="2141"/>
      <c r="Z50" s="2141"/>
      <c r="AA50" s="2142"/>
      <c r="AB50" s="2140"/>
      <c r="AC50" s="2141"/>
      <c r="AD50" s="2141"/>
      <c r="AE50" s="2141"/>
      <c r="AF50" s="2141"/>
      <c r="AG50" s="2141"/>
      <c r="AH50" s="2141"/>
      <c r="AI50" s="2141"/>
      <c r="AJ50" s="2141"/>
      <c r="AK50" s="2141"/>
      <c r="AL50" s="2141"/>
      <c r="AM50" s="2141"/>
      <c r="AN50" s="2141"/>
      <c r="AO50" s="2141"/>
      <c r="AP50" s="2141"/>
      <c r="AQ50" s="2141"/>
      <c r="AR50" s="2141"/>
      <c r="AS50" s="2141"/>
      <c r="AT50" s="2142"/>
      <c r="AU50" s="1165"/>
      <c r="AW50" s="368"/>
      <c r="AX50" s="368" t="str">
        <f t="shared" si="2"/>
        <v/>
      </c>
      <c r="AY50" s="368"/>
      <c r="AZ50" s="368"/>
    </row>
    <row r="51" spans="1:52" ht="21" customHeight="1">
      <c r="A51" s="1143" t="s">
        <v>136</v>
      </c>
      <c r="B51" s="1143" t="s">
        <v>137</v>
      </c>
      <c r="C51" s="1143" t="s">
        <v>138</v>
      </c>
      <c r="D51" s="1143" t="s">
        <v>139</v>
      </c>
      <c r="E51" s="2112"/>
      <c r="F51" s="2112"/>
      <c r="G51" s="2112"/>
      <c r="H51" s="2112"/>
      <c r="I51" s="2114"/>
      <c r="J51" s="2114"/>
      <c r="K51" s="2113" t="str">
        <f>S48&amp;".1"</f>
        <v>....1</v>
      </c>
      <c r="L51" s="1144"/>
      <c r="P51" s="2115"/>
      <c r="Q51" s="2115"/>
      <c r="R51" s="238">
        <v>1</v>
      </c>
      <c r="S51" s="2161" t="str">
        <f>$K51</f>
        <v>....1</v>
      </c>
      <c r="T51" s="2158"/>
      <c r="U51" s="175"/>
      <c r="V51" s="576"/>
      <c r="W51" s="1043"/>
      <c r="X51" s="1474"/>
      <c r="Y51" s="1232" t="s">
        <v>16</v>
      </c>
      <c r="Z51" s="1474"/>
      <c r="AA51" s="1232" t="s">
        <v>16</v>
      </c>
      <c r="AB51" s="2109" t="s">
        <v>15</v>
      </c>
      <c r="AC51" s="2157"/>
      <c r="AD51" s="2063">
        <v>1</v>
      </c>
      <c r="AE51" s="2149" t="s">
        <v>1</v>
      </c>
      <c r="AF51" s="2109" t="s">
        <v>15</v>
      </c>
      <c r="AG51" s="2157"/>
      <c r="AH51" s="2063">
        <v>1</v>
      </c>
      <c r="AI51" s="2149" t="s">
        <v>1</v>
      </c>
      <c r="AJ51" s="2109" t="s">
        <v>15</v>
      </c>
      <c r="AK51" s="188"/>
      <c r="AL51" s="1118">
        <v>1</v>
      </c>
      <c r="AM51" s="1182"/>
      <c r="AN51" s="576"/>
      <c r="AO51" s="1043"/>
      <c r="AP51" s="1474"/>
      <c r="AQ51" s="1232" t="s">
        <v>16</v>
      </c>
      <c r="AR51" s="1474"/>
      <c r="AS51" s="1232" t="s">
        <v>16</v>
      </c>
      <c r="AT51" s="1129"/>
      <c r="AU51" s="2134" t="s">
        <v>406</v>
      </c>
      <c r="AV51" s="379" t="e">
        <f ca="1">STRCHECKDATE(V54:AT54)</f>
        <v>#NAME?</v>
      </c>
      <c r="AW51" s="368"/>
      <c r="AX51" s="368" t="str">
        <f t="shared" si="2"/>
        <v/>
      </c>
      <c r="AY51" s="368"/>
      <c r="AZ51" s="368"/>
    </row>
    <row r="52" spans="1:52" ht="11.25" customHeight="1">
      <c r="A52" s="1143" t="s">
        <v>136</v>
      </c>
      <c r="B52" s="1143"/>
      <c r="C52" s="1143"/>
      <c r="D52" s="1143"/>
      <c r="E52" s="2112"/>
      <c r="F52" s="2112"/>
      <c r="G52" s="2112"/>
      <c r="H52" s="2112"/>
      <c r="I52" s="2114"/>
      <c r="J52" s="2114"/>
      <c r="K52" s="2113"/>
      <c r="L52" s="1144"/>
      <c r="P52" s="2115"/>
      <c r="Q52" s="2115"/>
      <c r="R52" s="238"/>
      <c r="S52" s="2162"/>
      <c r="T52" s="2159"/>
      <c r="U52" s="175"/>
      <c r="V52" s="1173"/>
      <c r="W52" s="1266"/>
      <c r="X52" s="1173"/>
      <c r="Y52" s="1173"/>
      <c r="Z52" s="1173"/>
      <c r="AA52" s="1173"/>
      <c r="AB52" s="2109"/>
      <c r="AC52" s="2157"/>
      <c r="AD52" s="2063"/>
      <c r="AE52" s="2149"/>
      <c r="AF52" s="2109"/>
      <c r="AG52" s="2157"/>
      <c r="AH52" s="2063"/>
      <c r="AI52" s="2149"/>
      <c r="AJ52" s="2109"/>
      <c r="AK52" s="195"/>
      <c r="AL52" s="296"/>
      <c r="AM52" s="295" t="s">
        <v>390</v>
      </c>
      <c r="AN52" s="1173"/>
      <c r="AO52" s="1266"/>
      <c r="AP52" s="1173"/>
      <c r="AQ52" s="1173"/>
      <c r="AR52" s="1173"/>
      <c r="AS52" s="1173"/>
      <c r="AT52" s="1170"/>
      <c r="AU52" s="2135"/>
      <c r="AW52" s="368"/>
      <c r="AX52" s="368"/>
      <c r="AY52" s="368"/>
      <c r="AZ52" s="368"/>
    </row>
    <row r="53" spans="1:52" ht="11.25" customHeight="1">
      <c r="A53" s="1143" t="s">
        <v>136</v>
      </c>
      <c r="B53" s="1143"/>
      <c r="C53" s="1143"/>
      <c r="D53" s="1143"/>
      <c r="E53" s="2112"/>
      <c r="F53" s="2112"/>
      <c r="G53" s="2112"/>
      <c r="H53" s="2112"/>
      <c r="I53" s="2114"/>
      <c r="J53" s="2114"/>
      <c r="K53" s="2113"/>
      <c r="L53" s="1144"/>
      <c r="P53" s="2115"/>
      <c r="Q53" s="2115"/>
      <c r="R53" s="238"/>
      <c r="S53" s="2162"/>
      <c r="T53" s="2159"/>
      <c r="U53" s="175"/>
      <c r="V53" s="1173"/>
      <c r="W53" s="1266"/>
      <c r="X53" s="1173"/>
      <c r="Y53" s="1173"/>
      <c r="Z53" s="1173"/>
      <c r="AA53" s="1173"/>
      <c r="AB53" s="2109"/>
      <c r="AC53" s="2157"/>
      <c r="AD53" s="2063"/>
      <c r="AE53" s="2149"/>
      <c r="AF53" s="2109"/>
      <c r="AG53" s="169"/>
      <c r="AH53" s="295"/>
      <c r="AI53" s="295" t="s">
        <v>391</v>
      </c>
      <c r="AJ53" s="1173"/>
      <c r="AK53" s="1173"/>
      <c r="AL53" s="1173"/>
      <c r="AM53" s="1173"/>
      <c r="AN53" s="1173"/>
      <c r="AO53" s="1266"/>
      <c r="AP53" s="1173"/>
      <c r="AQ53" s="1173"/>
      <c r="AR53" s="1173"/>
      <c r="AS53" s="1173"/>
      <c r="AT53" s="1170"/>
      <c r="AU53" s="2135"/>
      <c r="AW53" s="368"/>
      <c r="AX53" s="368"/>
      <c r="AY53" s="368"/>
      <c r="AZ53" s="368"/>
    </row>
    <row r="54" spans="1:52" ht="11.25" customHeight="1">
      <c r="A54" s="1143" t="s">
        <v>136</v>
      </c>
      <c r="B54" s="1143" t="s">
        <v>137</v>
      </c>
      <c r="C54" s="1143" t="s">
        <v>138</v>
      </c>
      <c r="D54" s="1143" t="s">
        <v>139</v>
      </c>
      <c r="E54" s="2112"/>
      <c r="F54" s="2112"/>
      <c r="G54" s="2112"/>
      <c r="H54" s="2112"/>
      <c r="I54" s="2114"/>
      <c r="J54" s="2114"/>
      <c r="K54" s="2113"/>
      <c r="L54" s="1144"/>
      <c r="P54" s="2115"/>
      <c r="Q54" s="2115"/>
      <c r="R54" s="238"/>
      <c r="S54" s="2163"/>
      <c r="T54" s="2160"/>
      <c r="U54" s="175"/>
      <c r="V54" s="1173"/>
      <c r="W54" s="1174" t="str">
        <f>X51&amp;"-"&amp;Z51</f>
        <v>-</v>
      </c>
      <c r="X54" s="1173"/>
      <c r="Y54" s="1173"/>
      <c r="Z54" s="1173"/>
      <c r="AA54" s="1173"/>
      <c r="AB54" s="2109"/>
      <c r="AC54" s="189"/>
      <c r="AD54" s="191"/>
      <c r="AE54" s="295" t="s">
        <v>392</v>
      </c>
      <c r="AF54" s="1173"/>
      <c r="AG54" s="1173"/>
      <c r="AH54" s="1173"/>
      <c r="AI54" s="1173"/>
      <c r="AJ54" s="1173"/>
      <c r="AK54" s="1173"/>
      <c r="AL54" s="1173"/>
      <c r="AM54" s="1173"/>
      <c r="AN54" s="1173"/>
      <c r="AO54" s="1174" t="str">
        <f>AP51&amp;"-"&amp;AR51</f>
        <v>-</v>
      </c>
      <c r="AP54" s="1173"/>
      <c r="AQ54" s="1173"/>
      <c r="AR54" s="1173"/>
      <c r="AS54" s="1173"/>
      <c r="AT54" s="1130"/>
      <c r="AU54" s="2135"/>
      <c r="AW54" s="368"/>
      <c r="AX54" s="368" t="str">
        <f t="shared" ref="AX54:AX62" si="3">IF(T54="","",T54)</f>
        <v/>
      </c>
      <c r="AY54" s="368"/>
      <c r="AZ54" s="368"/>
    </row>
    <row r="55" spans="1:52" ht="11.25" customHeight="1">
      <c r="A55" s="1143" t="s">
        <v>136</v>
      </c>
      <c r="B55" s="1143" t="s">
        <v>137</v>
      </c>
      <c r="C55" s="1143" t="s">
        <v>138</v>
      </c>
      <c r="D55" s="1143" t="s">
        <v>139</v>
      </c>
      <c r="E55" s="2112"/>
      <c r="F55" s="2112"/>
      <c r="G55" s="2112"/>
      <c r="H55" s="2112"/>
      <c r="I55" s="2114"/>
      <c r="J55" s="2113"/>
      <c r="K55" s="1143"/>
      <c r="L55" s="1144"/>
      <c r="P55" s="2115"/>
      <c r="Q55" s="2115"/>
      <c r="R55" s="237"/>
      <c r="S55" s="1062"/>
      <c r="T55" s="163" t="s">
        <v>393</v>
      </c>
      <c r="U55" s="251"/>
      <c r="V55" s="251"/>
      <c r="W55" s="251"/>
      <c r="X55" s="251"/>
      <c r="Y55" s="251"/>
      <c r="Z55" s="251"/>
      <c r="AA55" s="206"/>
      <c r="AB55" s="1275"/>
      <c r="AC55" s="251"/>
      <c r="AD55" s="251"/>
      <c r="AE55" s="251"/>
      <c r="AF55" s="251"/>
      <c r="AG55" s="251"/>
      <c r="AH55" s="251"/>
      <c r="AI55" s="251"/>
      <c r="AJ55" s="251"/>
      <c r="AK55" s="251"/>
      <c r="AL55" s="251"/>
      <c r="AM55" s="251"/>
      <c r="AN55" s="251"/>
      <c r="AO55" s="251"/>
      <c r="AP55" s="251"/>
      <c r="AQ55" s="251"/>
      <c r="AR55" s="251"/>
      <c r="AS55" s="251"/>
      <c r="AT55" s="206"/>
      <c r="AU55" s="2136"/>
      <c r="AW55" s="368"/>
      <c r="AX55" s="368" t="str">
        <f t="shared" si="3"/>
        <v>Добавить строку</v>
      </c>
      <c r="AY55" s="368"/>
      <c r="AZ55" s="368"/>
    </row>
    <row r="56" spans="1:52" s="1622" customFormat="1" ht="0" hidden="1" customHeight="1">
      <c r="A56" s="1124" t="s">
        <v>136</v>
      </c>
      <c r="B56" s="1124" t="s">
        <v>137</v>
      </c>
      <c r="C56" s="1124" t="s">
        <v>138</v>
      </c>
      <c r="D56" s="1124" t="s">
        <v>139</v>
      </c>
      <c r="E56" s="2112"/>
      <c r="F56" s="2112"/>
      <c r="G56" s="2112"/>
      <c r="H56" s="2112"/>
      <c r="I56" s="2113"/>
      <c r="J56" s="1124"/>
      <c r="K56" s="1124"/>
      <c r="L56" s="1127"/>
      <c r="M56" s="378"/>
      <c r="N56" s="378"/>
      <c r="O56" s="378"/>
      <c r="P56" s="2115"/>
      <c r="Q56" s="1112"/>
      <c r="R56" s="237"/>
      <c r="S56" s="1166"/>
      <c r="T56" s="1167" t="s">
        <v>338</v>
      </c>
      <c r="U56" s="1168"/>
      <c r="V56" s="1168"/>
      <c r="W56" s="1168"/>
      <c r="X56" s="1168"/>
      <c r="Y56" s="1168"/>
      <c r="Z56" s="1168"/>
      <c r="AA56" s="1168"/>
      <c r="AB56" s="1168"/>
      <c r="AC56" s="1168"/>
      <c r="AD56" s="1168"/>
      <c r="AE56" s="1168"/>
      <c r="AF56" s="1168"/>
      <c r="AG56" s="1168"/>
      <c r="AH56" s="1168"/>
      <c r="AI56" s="1168"/>
      <c r="AJ56" s="1168"/>
      <c r="AK56" s="1168"/>
      <c r="AL56" s="1168"/>
      <c r="AM56" s="1168"/>
      <c r="AN56" s="1168"/>
      <c r="AO56" s="1168"/>
      <c r="AP56" s="1168"/>
      <c r="AQ56" s="1168"/>
      <c r="AR56" s="1168"/>
      <c r="AS56" s="1168"/>
      <c r="AT56" s="1168"/>
      <c r="AU56" s="1169"/>
      <c r="AW56" s="368"/>
      <c r="AX56" s="368" t="str">
        <f t="shared" si="3"/>
        <v>Добавить группу потребителей</v>
      </c>
      <c r="AY56" s="368"/>
      <c r="AZ56" s="368"/>
    </row>
    <row r="57" spans="1:52" s="1621" customFormat="1" ht="0" hidden="1" customHeight="1">
      <c r="A57" s="1124" t="s">
        <v>136</v>
      </c>
      <c r="B57" s="1124" t="s">
        <v>137</v>
      </c>
      <c r="C57" s="1124" t="s">
        <v>138</v>
      </c>
      <c r="D57" s="1124" t="s">
        <v>139</v>
      </c>
      <c r="E57" s="2112"/>
      <c r="F57" s="2112"/>
      <c r="G57" s="2112"/>
      <c r="H57" s="2111"/>
      <c r="I57" s="1124"/>
      <c r="J57" s="1124"/>
      <c r="K57" s="1124"/>
      <c r="L57" s="1127"/>
      <c r="M57" s="1097"/>
      <c r="N57" s="1097"/>
      <c r="O57" s="386"/>
      <c r="P57" s="269"/>
      <c r="Q57" s="1125"/>
      <c r="R57" s="1180"/>
      <c r="S57" s="1166"/>
      <c r="T57" s="1167"/>
      <c r="U57" s="1168"/>
      <c r="V57" s="1168"/>
      <c r="W57" s="1168"/>
      <c r="X57" s="1168"/>
      <c r="Y57" s="1168"/>
      <c r="Z57" s="1168"/>
      <c r="AA57" s="1168"/>
      <c r="AB57" s="1168"/>
      <c r="AC57" s="1168"/>
      <c r="AD57" s="1168"/>
      <c r="AE57" s="1168"/>
      <c r="AF57" s="1168"/>
      <c r="AG57" s="1168"/>
      <c r="AH57" s="1168"/>
      <c r="AI57" s="1168"/>
      <c r="AJ57" s="1168"/>
      <c r="AK57" s="1168"/>
      <c r="AL57" s="1168"/>
      <c r="AM57" s="1168"/>
      <c r="AN57" s="1168"/>
      <c r="AO57" s="1168"/>
      <c r="AP57" s="1168"/>
      <c r="AQ57" s="1168"/>
      <c r="AR57" s="1168"/>
      <c r="AS57" s="1168"/>
      <c r="AT57" s="1168"/>
      <c r="AU57" s="1169"/>
      <c r="AV57" s="379"/>
      <c r="AW57" s="368"/>
      <c r="AX57" s="368" t="str">
        <f t="shared" si="3"/>
        <v/>
      </c>
      <c r="AY57" s="368"/>
      <c r="AZ57" s="368"/>
    </row>
    <row r="58" spans="1:52" s="1686" customFormat="1" ht="0" hidden="1" customHeight="1">
      <c r="A58" s="1124" t="s">
        <v>136</v>
      </c>
      <c r="B58" s="1124" t="s">
        <v>137</v>
      </c>
      <c r="C58" s="1124" t="s">
        <v>138</v>
      </c>
      <c r="D58" s="1096"/>
      <c r="E58" s="2112"/>
      <c r="F58" s="2112"/>
      <c r="G58" s="2111"/>
      <c r="H58" s="1096"/>
      <c r="I58" s="1096"/>
      <c r="J58" s="1096"/>
      <c r="K58" s="1096"/>
      <c r="L58" s="1120"/>
      <c r="M58" s="1097"/>
      <c r="N58" s="1097"/>
      <c r="P58" s="1098"/>
      <c r="Q58" s="1099"/>
      <c r="R58" s="1098"/>
      <c r="S58" s="1104"/>
      <c r="T58" s="1107" t="s">
        <v>340</v>
      </c>
      <c r="U58" s="1106"/>
      <c r="V58" s="1106"/>
      <c r="W58" s="1106"/>
      <c r="X58" s="1106"/>
      <c r="Y58" s="1106"/>
      <c r="Z58" s="1106"/>
      <c r="AA58" s="1106"/>
      <c r="AB58" s="1106"/>
      <c r="AC58" s="1106"/>
      <c r="AD58" s="1106"/>
      <c r="AE58" s="1106"/>
      <c r="AF58" s="1106"/>
      <c r="AG58" s="1106"/>
      <c r="AH58" s="1106"/>
      <c r="AI58" s="1106"/>
      <c r="AJ58" s="1106"/>
      <c r="AK58" s="1106"/>
      <c r="AL58" s="1106"/>
      <c r="AM58" s="1106"/>
      <c r="AN58" s="1106"/>
      <c r="AO58" s="1106"/>
      <c r="AP58" s="1106"/>
      <c r="AQ58" s="1106"/>
      <c r="AR58" s="1106"/>
      <c r="AS58" s="1106"/>
      <c r="AT58" s="1106"/>
      <c r="AU58" s="1106"/>
      <c r="AW58" s="598"/>
      <c r="AX58" s="598" t="str">
        <f t="shared" si="3"/>
        <v>Добавить источник для дифференциации</v>
      </c>
      <c r="AY58" s="598"/>
      <c r="AZ58" s="598"/>
    </row>
    <row r="59" spans="1:52" s="1686" customFormat="1" ht="0" hidden="1" customHeight="1">
      <c r="A59" s="1124" t="s">
        <v>136</v>
      </c>
      <c r="B59" s="1124" t="s">
        <v>137</v>
      </c>
      <c r="C59" s="1096"/>
      <c r="D59" s="1096"/>
      <c r="E59" s="2112"/>
      <c r="F59" s="2111"/>
      <c r="G59" s="1096"/>
      <c r="H59" s="1096"/>
      <c r="I59" s="1096"/>
      <c r="J59" s="1096"/>
      <c r="K59" s="1096"/>
      <c r="L59" s="1120"/>
      <c r="M59" s="1103"/>
      <c r="N59" s="1103"/>
      <c r="P59" s="1098"/>
      <c r="Q59" s="1099"/>
      <c r="R59" s="1098"/>
      <c r="S59" s="1104"/>
      <c r="T59" s="1107" t="s">
        <v>341</v>
      </c>
      <c r="U59" s="1106"/>
      <c r="V59" s="1106"/>
      <c r="W59" s="1106"/>
      <c r="X59" s="1106"/>
      <c r="Y59" s="1106"/>
      <c r="Z59" s="1106"/>
      <c r="AA59" s="1106"/>
      <c r="AB59" s="1106"/>
      <c r="AC59" s="1106"/>
      <c r="AD59" s="1106"/>
      <c r="AE59" s="1106"/>
      <c r="AF59" s="1106"/>
      <c r="AG59" s="1106"/>
      <c r="AH59" s="1106"/>
      <c r="AI59" s="1106"/>
      <c r="AJ59" s="1106"/>
      <c r="AK59" s="1106"/>
      <c r="AL59" s="1106"/>
      <c r="AM59" s="1106"/>
      <c r="AN59" s="1106"/>
      <c r="AO59" s="1106"/>
      <c r="AP59" s="1106"/>
      <c r="AQ59" s="1106"/>
      <c r="AR59" s="1106"/>
      <c r="AS59" s="1106"/>
      <c r="AT59" s="1106"/>
      <c r="AU59" s="1106"/>
      <c r="AW59" s="598"/>
      <c r="AX59" s="598" t="str">
        <f t="shared" si="3"/>
        <v>Добавить централизованную систему для дифференциации</v>
      </c>
      <c r="AY59" s="598"/>
      <c r="AZ59" s="598"/>
    </row>
    <row r="60" spans="1:52" s="1622" customFormat="1" ht="0" hidden="1" customHeight="1">
      <c r="A60" s="1124" t="s">
        <v>136</v>
      </c>
      <c r="B60" s="1124"/>
      <c r="C60" s="1124"/>
      <c r="D60" s="1124"/>
      <c r="E60" s="2112"/>
      <c r="F60" s="1124"/>
      <c r="G60" s="1124"/>
      <c r="H60" s="1124"/>
      <c r="I60" s="1124"/>
      <c r="J60" s="1124"/>
      <c r="K60" s="1124"/>
      <c r="L60" s="1127"/>
      <c r="M60" s="1103"/>
      <c r="N60" s="1103"/>
      <c r="O60" s="386"/>
      <c r="P60" s="269"/>
      <c r="Q60" s="1125"/>
      <c r="R60" s="269"/>
      <c r="S60" s="1104"/>
      <c r="T60" s="1107" t="s">
        <v>342</v>
      </c>
      <c r="U60" s="1106"/>
      <c r="V60" s="1106"/>
      <c r="W60" s="1106"/>
      <c r="X60" s="1106"/>
      <c r="Y60" s="1106"/>
      <c r="Z60" s="1106"/>
      <c r="AA60" s="1106"/>
      <c r="AB60" s="1106"/>
      <c r="AC60" s="1106"/>
      <c r="AD60" s="1106"/>
      <c r="AE60" s="1106"/>
      <c r="AF60" s="1106"/>
      <c r="AG60" s="1106"/>
      <c r="AH60" s="1106"/>
      <c r="AI60" s="1106"/>
      <c r="AJ60" s="1106"/>
      <c r="AK60" s="1106"/>
      <c r="AL60" s="1106"/>
      <c r="AM60" s="1106"/>
      <c r="AN60" s="1106"/>
      <c r="AO60" s="1106"/>
      <c r="AP60" s="1106"/>
      <c r="AQ60" s="1106"/>
      <c r="AR60" s="1106"/>
      <c r="AS60" s="1106"/>
      <c r="AT60" s="1106"/>
      <c r="AU60" s="1106"/>
      <c r="AW60" s="368"/>
      <c r="AX60" s="368" t="str">
        <f t="shared" si="3"/>
        <v>Добавить территорию для дифференциации</v>
      </c>
      <c r="AY60" s="368"/>
      <c r="AZ60" s="368"/>
    </row>
    <row r="61" spans="1:52" s="1622" customFormat="1" ht="0" hidden="1" customHeight="1">
      <c r="A61" s="1124" t="s">
        <v>136</v>
      </c>
      <c r="B61" s="1124"/>
      <c r="C61" s="1124"/>
      <c r="D61" s="1124"/>
      <c r="E61" s="2111"/>
      <c r="F61" s="1124"/>
      <c r="G61" s="1124"/>
      <c r="H61" s="1124"/>
      <c r="I61" s="1124"/>
      <c r="J61" s="1124"/>
      <c r="K61" s="1124"/>
      <c r="L61" s="1127"/>
      <c r="M61" s="1103"/>
      <c r="N61" s="1103"/>
      <c r="O61" s="386"/>
      <c r="P61" s="269"/>
      <c r="Q61" s="1125"/>
      <c r="R61" s="269"/>
      <c r="S61" s="1104"/>
      <c r="T61" s="1107" t="s">
        <v>342</v>
      </c>
      <c r="U61" s="1106"/>
      <c r="V61" s="1106"/>
      <c r="W61" s="1106"/>
      <c r="X61" s="1106"/>
      <c r="Y61" s="1106"/>
      <c r="Z61" s="1106"/>
      <c r="AA61" s="1106"/>
      <c r="AB61" s="1106"/>
      <c r="AC61" s="1106"/>
      <c r="AD61" s="1106"/>
      <c r="AE61" s="1106"/>
      <c r="AF61" s="1106"/>
      <c r="AG61" s="1106"/>
      <c r="AH61" s="1106"/>
      <c r="AI61" s="1106"/>
      <c r="AJ61" s="1106"/>
      <c r="AK61" s="1106"/>
      <c r="AL61" s="1106"/>
      <c r="AM61" s="1106"/>
      <c r="AN61" s="1106"/>
      <c r="AO61" s="1106"/>
      <c r="AP61" s="1106"/>
      <c r="AQ61" s="1106"/>
      <c r="AR61" s="1106"/>
      <c r="AS61" s="1106"/>
      <c r="AT61" s="1106"/>
      <c r="AU61" s="1106"/>
      <c r="AW61" s="368"/>
      <c r="AX61" s="368" t="str">
        <f t="shared" si="3"/>
        <v>Добавить территорию для дифференциации</v>
      </c>
      <c r="AY61" s="368"/>
      <c r="AZ61" s="368"/>
    </row>
    <row r="62" spans="1:52" s="1686" customFormat="1" ht="0" hidden="1" customHeight="1">
      <c r="A62" s="1096"/>
      <c r="B62" s="1096"/>
      <c r="C62" s="1096"/>
      <c r="D62" s="1096"/>
      <c r="E62" s="1124"/>
      <c r="F62" s="1096"/>
      <c r="G62" s="1096"/>
      <c r="H62" s="1096"/>
      <c r="I62" s="1096"/>
      <c r="J62" s="1096"/>
      <c r="K62" s="1096"/>
      <c r="L62" s="1120"/>
      <c r="M62" s="1103"/>
      <c r="N62" s="1103"/>
      <c r="P62" s="1098"/>
      <c r="Q62" s="1099"/>
      <c r="R62" s="1098"/>
      <c r="S62" s="1104"/>
      <c r="T62" s="1107" t="s">
        <v>374</v>
      </c>
      <c r="U62" s="1106"/>
      <c r="V62" s="1106"/>
      <c r="W62" s="1106"/>
      <c r="X62" s="1106"/>
      <c r="Y62" s="1106"/>
      <c r="Z62" s="1106"/>
      <c r="AA62" s="1106"/>
      <c r="AB62" s="1106"/>
      <c r="AC62" s="1106"/>
      <c r="AD62" s="1106"/>
      <c r="AE62" s="1106"/>
      <c r="AF62" s="1106"/>
      <c r="AG62" s="1106"/>
      <c r="AH62" s="1106"/>
      <c r="AI62" s="1106"/>
      <c r="AJ62" s="1106"/>
      <c r="AK62" s="1106"/>
      <c r="AL62" s="1106"/>
      <c r="AM62" s="1106"/>
      <c r="AN62" s="1106"/>
      <c r="AO62" s="1106"/>
      <c r="AP62" s="1106"/>
      <c r="AQ62" s="1106"/>
      <c r="AR62" s="1106"/>
      <c r="AS62" s="1106"/>
      <c r="AT62" s="1106"/>
      <c r="AU62" s="1106"/>
      <c r="AW62" s="598"/>
      <c r="AX62" s="598" t="str">
        <f t="shared" si="3"/>
        <v>Добавить наименование тарифа</v>
      </c>
      <c r="AY62" s="598"/>
      <c r="AZ62" s="598"/>
    </row>
    <row r="63" spans="1:52" ht="11.25" customHeight="1">
      <c r="M63" s="929"/>
      <c r="N63" s="929"/>
      <c r="O63" s="395"/>
      <c r="P63" s="929"/>
      <c r="Q63" s="929"/>
      <c r="R63" s="924"/>
      <c r="S63" s="924"/>
      <c r="AV63" s="924"/>
      <c r="AW63" s="924"/>
      <c r="AX63" s="924"/>
      <c r="AY63" s="924"/>
      <c r="AZ63" s="924"/>
    </row>
    <row r="64" spans="1:52" ht="18.75" customHeight="1">
      <c r="O64" s="395"/>
      <c r="S64" s="1031"/>
      <c r="T64" s="2110"/>
      <c r="U64" s="2110"/>
      <c r="V64" s="2110"/>
      <c r="W64" s="2110"/>
      <c r="X64" s="2110"/>
      <c r="Y64" s="2110"/>
      <c r="Z64" s="2110"/>
      <c r="AA64" s="2110"/>
      <c r="AB64" s="2110"/>
      <c r="AC64" s="2110"/>
      <c r="AD64" s="2110"/>
      <c r="AE64" s="2110"/>
      <c r="AF64" s="2110"/>
      <c r="AG64" s="2110"/>
      <c r="AH64" s="2110"/>
      <c r="AI64" s="2110"/>
      <c r="AJ64" s="2110"/>
      <c r="AK64" s="2110"/>
      <c r="AL64" s="2110"/>
      <c r="AM64" s="2110"/>
      <c r="AN64" s="2110"/>
      <c r="AO64" s="2110"/>
      <c r="AP64" s="2110"/>
      <c r="AQ64" s="2110"/>
      <c r="AR64" s="2110"/>
      <c r="AS64" s="2110"/>
      <c r="AT64" s="2110"/>
      <c r="AU64" s="2110"/>
    </row>
    <row r="65" spans="15:47" ht="19.5" customHeight="1">
      <c r="O65" s="395"/>
      <c r="T65" s="2110"/>
      <c r="U65" s="2110"/>
      <c r="V65" s="2110"/>
      <c r="W65" s="2110"/>
      <c r="X65" s="2110"/>
      <c r="Y65" s="2110"/>
      <c r="Z65" s="2110"/>
      <c r="AA65" s="2110"/>
      <c r="AB65" s="2110"/>
      <c r="AC65" s="2110"/>
      <c r="AD65" s="2110"/>
      <c r="AE65" s="2110"/>
      <c r="AF65" s="2110"/>
      <c r="AG65" s="2110"/>
      <c r="AH65" s="2110"/>
      <c r="AI65" s="2110"/>
      <c r="AJ65" s="2110"/>
      <c r="AK65" s="2110"/>
      <c r="AL65" s="2110"/>
      <c r="AM65" s="2110"/>
      <c r="AN65" s="2110"/>
      <c r="AO65" s="2110"/>
      <c r="AP65" s="2110"/>
      <c r="AQ65" s="2110"/>
      <c r="AR65" s="2110"/>
      <c r="AS65" s="2110"/>
      <c r="AT65" s="2110"/>
      <c r="AU65" s="2110"/>
    </row>
    <row r="66" spans="15:47" ht="14.25" customHeight="1">
      <c r="O66" s="395"/>
      <c r="T66" s="1114"/>
      <c r="U66" s="1114"/>
      <c r="V66" s="1114"/>
      <c r="W66" s="1114"/>
      <c r="X66" s="1114"/>
      <c r="Y66" s="1114"/>
      <c r="Z66" s="1114"/>
      <c r="AA66" s="1114"/>
      <c r="AB66" s="1114"/>
      <c r="AC66" s="1114"/>
      <c r="AD66" s="1114"/>
      <c r="AE66" s="1114"/>
      <c r="AF66" s="1114"/>
      <c r="AG66" s="1114"/>
      <c r="AH66" s="1114"/>
      <c r="AI66" s="1114"/>
      <c r="AJ66" s="1114"/>
      <c r="AK66" s="1114"/>
      <c r="AL66" s="1114"/>
      <c r="AM66" s="1114"/>
      <c r="AN66" s="1114"/>
      <c r="AO66" s="1114"/>
      <c r="AP66" s="1114"/>
      <c r="AQ66" s="1114"/>
      <c r="AR66" s="1114"/>
      <c r="AS66" s="1114"/>
      <c r="AT66" s="1114"/>
      <c r="AU66" s="1114"/>
    </row>
    <row r="67" spans="15:47" ht="18.75" customHeight="1">
      <c r="O67" s="395"/>
      <c r="T67" s="2110"/>
      <c r="U67" s="2110"/>
      <c r="V67" s="2110"/>
      <c r="W67" s="2110"/>
      <c r="X67" s="2110"/>
      <c r="Y67" s="2110"/>
      <c r="Z67" s="2110"/>
      <c r="AA67" s="2110"/>
      <c r="AB67" s="2110"/>
      <c r="AC67" s="2110"/>
      <c r="AD67" s="2110"/>
      <c r="AE67" s="2110"/>
      <c r="AF67" s="2110"/>
      <c r="AG67" s="2110"/>
      <c r="AH67" s="2110"/>
      <c r="AI67" s="2110"/>
      <c r="AJ67" s="2110"/>
      <c r="AK67" s="2110"/>
      <c r="AL67" s="2110"/>
      <c r="AM67" s="2110"/>
      <c r="AN67" s="2110"/>
      <c r="AO67" s="2110"/>
      <c r="AP67" s="2110"/>
      <c r="AQ67" s="2110"/>
      <c r="AR67" s="2110"/>
      <c r="AS67" s="2110"/>
      <c r="AT67" s="2110"/>
      <c r="AU67" s="2110"/>
    </row>
    <row r="68" spans="15:47" ht="15.75" customHeight="1">
      <c r="O68" s="395"/>
      <c r="T68" s="2110"/>
      <c r="U68" s="2110"/>
      <c r="V68" s="2110"/>
      <c r="W68" s="2110"/>
      <c r="X68" s="2110"/>
      <c r="Y68" s="2110"/>
      <c r="Z68" s="2110"/>
      <c r="AA68" s="2110"/>
      <c r="AB68" s="2110"/>
      <c r="AC68" s="2110"/>
      <c r="AD68" s="2110"/>
      <c r="AE68" s="2110"/>
      <c r="AF68" s="2110"/>
      <c r="AG68" s="2110"/>
      <c r="AH68" s="2110"/>
      <c r="AI68" s="2110"/>
      <c r="AJ68" s="2110"/>
      <c r="AK68" s="2110"/>
      <c r="AL68" s="2110"/>
      <c r="AM68" s="2110"/>
      <c r="AN68" s="2110"/>
      <c r="AO68" s="2110"/>
      <c r="AP68" s="2110"/>
      <c r="AQ68" s="2110"/>
      <c r="AR68" s="2110"/>
      <c r="AS68" s="2110"/>
      <c r="AT68" s="2110"/>
      <c r="AU68" s="2110"/>
    </row>
    <row r="69" spans="15:47" ht="14.25" customHeight="1">
      <c r="O69" s="395"/>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687" hidden="1"/>
    <col min="2" max="2" width="11" style="1687" hidden="1" customWidth="1"/>
    <col min="3" max="3" width="10.5703125" style="1687" hidden="1"/>
    <col min="4" max="4" width="11.85546875" style="1687" hidden="1" customWidth="1"/>
    <col min="5" max="5" width="10" style="1687" hidden="1" customWidth="1"/>
    <col min="6" max="6" width="8.7109375" style="1687" hidden="1" customWidth="1"/>
    <col min="7" max="7" width="7.5703125" style="1687" hidden="1" customWidth="1"/>
    <col min="8" max="8" width="11.42578125" style="1687" hidden="1" customWidth="1"/>
    <col min="9" max="9" width="14.140625" style="1687" hidden="1" customWidth="1"/>
    <col min="10" max="10" width="9.85546875" style="1687" hidden="1" customWidth="1"/>
    <col min="11" max="11" width="14.7109375" style="1687" hidden="1" customWidth="1"/>
    <col min="12" max="12" width="19.140625" style="1701" hidden="1" customWidth="1"/>
    <col min="13" max="14" width="12.28515625" style="1689" hidden="1" customWidth="1"/>
    <col min="15" max="15" width="23.42578125" style="1689" hidden="1" customWidth="1"/>
    <col min="16" max="16" width="3.7109375" style="1702" customWidth="1"/>
    <col min="17" max="18" width="3.7109375" style="1695" customWidth="1"/>
    <col min="19" max="19" width="12.7109375" style="1696" customWidth="1"/>
    <col min="20" max="20" width="35.7109375" style="1661" customWidth="1"/>
    <col min="21" max="21" width="0.140625" style="1661" customWidth="1"/>
    <col min="22" max="24" width="24.7109375" style="1661" hidden="1" customWidth="1"/>
    <col min="25" max="25" width="11.7109375" style="1661" hidden="1" customWidth="1"/>
    <col min="26" max="26" width="3.7109375" style="1661" hidden="1" customWidth="1"/>
    <col min="27" max="27" width="11.7109375" style="1661" hidden="1" customWidth="1"/>
    <col min="28" max="28" width="8.5703125" style="1661" hidden="1" customWidth="1"/>
    <col min="29" max="31" width="24.7109375" style="1661" customWidth="1"/>
    <col min="32" max="32" width="11.7109375" style="1661" customWidth="1"/>
    <col min="33" max="33" width="3.7109375" style="1661" customWidth="1"/>
    <col min="34" max="34" width="11.7109375" style="1661" customWidth="1"/>
    <col min="35" max="35" width="8.5703125" style="1661" hidden="1" customWidth="1"/>
    <col min="36" max="36" width="4.7109375" style="1661" customWidth="1"/>
    <col min="37" max="37" width="115.7109375" style="1661" customWidth="1"/>
    <col min="38" max="39" width="10.5703125" style="1622"/>
    <col min="40" max="40" width="11.140625" style="1622" customWidth="1"/>
    <col min="41" max="42" width="10.5703125" style="1622"/>
  </cols>
  <sheetData>
    <row r="1" spans="1:42" ht="14.25" hidden="1" customHeight="1">
      <c r="X1" s="210"/>
      <c r="Y1" s="210"/>
      <c r="AE1" s="210"/>
      <c r="AF1" s="210"/>
    </row>
    <row r="2" spans="1:42" ht="23.25" hidden="1" customHeight="1">
      <c r="A2" s="1143"/>
      <c r="B2" s="1143"/>
      <c r="C2" s="1143"/>
      <c r="D2" s="1143"/>
      <c r="E2" s="2111">
        <v>1</v>
      </c>
      <c r="F2" s="1143"/>
      <c r="G2" s="1143"/>
      <c r="H2" s="1143"/>
      <c r="I2" s="1143"/>
      <c r="J2" s="1143"/>
      <c r="K2" s="1143"/>
      <c r="L2" s="1144"/>
      <c r="M2" s="1145"/>
      <c r="N2" s="1145"/>
      <c r="O2" s="1145"/>
      <c r="P2" s="242"/>
      <c r="Q2" s="241"/>
      <c r="R2" s="236"/>
      <c r="S2" s="1200" t="e">
        <f>INDEX(PT_DIFFERENTIATION_NUM_NTAR,MATCH(A2,PT_DIFFERENTIATION_NTAR_ID,0))</f>
        <v>#N/A</v>
      </c>
      <c r="T2" s="173" t="s">
        <v>61</v>
      </c>
      <c r="U2" s="175"/>
      <c r="V2" s="2104"/>
      <c r="W2" s="2105"/>
      <c r="X2" s="2105"/>
      <c r="Y2" s="2105"/>
      <c r="Z2" s="2105"/>
      <c r="AA2" s="2105"/>
      <c r="AB2" s="2106"/>
      <c r="AC2" s="2104" t="e">
        <f>INDEX(PT_DIFFERENTIATION_NTAR,MATCH(A2,PT_DIFFERENTIATION_NTAR_ID,0))</f>
        <v>#N/A</v>
      </c>
      <c r="AD2" s="2105"/>
      <c r="AE2" s="2105"/>
      <c r="AF2" s="2105"/>
      <c r="AG2" s="2105"/>
      <c r="AH2" s="2105"/>
      <c r="AI2" s="2105"/>
      <c r="AJ2" s="2106"/>
      <c r="AK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68"/>
      <c r="AN2" s="368" t="str">
        <f t="shared" ref="AN2:AN13" si="0">IF(T2="","",T2)</f>
        <v>Наименование тарифа</v>
      </c>
      <c r="AO2" s="368"/>
      <c r="AP2" s="368"/>
    </row>
    <row r="3" spans="1:42" ht="23.25" hidden="1" customHeight="1">
      <c r="A3" s="1143"/>
      <c r="B3" s="1143"/>
      <c r="C3" s="1143"/>
      <c r="D3" s="1143"/>
      <c r="E3" s="2112"/>
      <c r="F3" s="2111">
        <v>1</v>
      </c>
      <c r="G3" s="1143"/>
      <c r="H3" s="1143"/>
      <c r="I3" s="1143"/>
      <c r="J3" s="1143"/>
      <c r="K3" s="1143"/>
      <c r="L3" s="1144"/>
      <c r="M3" s="1145"/>
      <c r="N3" s="1145"/>
      <c r="O3" s="1145"/>
      <c r="P3" s="1198"/>
      <c r="Q3" s="233"/>
      <c r="R3" s="234"/>
      <c r="S3" s="1200" t="e">
        <f>INDEX(PT_DIFFERENTIATION_NUM_TER,MATCH(B3,PT_DIFFERENTIATION_TER_ID,0))</f>
        <v>#N/A</v>
      </c>
      <c r="T3" s="185" t="s">
        <v>323</v>
      </c>
      <c r="U3" s="175"/>
      <c r="V3" s="2104"/>
      <c r="W3" s="2105"/>
      <c r="X3" s="2105"/>
      <c r="Y3" s="2105"/>
      <c r="Z3" s="2105"/>
      <c r="AA3" s="2105"/>
      <c r="AB3" s="2106"/>
      <c r="AC3" s="2104" t="e">
        <f>INDEX(PT_DIFFERENTIATION_TER,MATCH(B3,PT_DIFFERENTIATION_TER_ID,0))</f>
        <v>#N/A</v>
      </c>
      <c r="AD3" s="2105"/>
      <c r="AE3" s="2105"/>
      <c r="AF3" s="2105"/>
      <c r="AG3" s="2105"/>
      <c r="AH3" s="2105"/>
      <c r="AI3" s="2105"/>
      <c r="AJ3" s="2106"/>
      <c r="AK3" s="1044" t="s">
        <v>324</v>
      </c>
      <c r="AM3" s="368"/>
      <c r="AN3" s="368" t="str">
        <f t="shared" si="0"/>
        <v>Территория действия тарифа</v>
      </c>
      <c r="AO3" s="368"/>
      <c r="AP3" s="368"/>
    </row>
    <row r="4" spans="1:42" ht="23.25" hidden="1" customHeight="1">
      <c r="A4" s="1143"/>
      <c r="B4" s="1143"/>
      <c r="C4" s="1143"/>
      <c r="D4" s="1143"/>
      <c r="E4" s="2112"/>
      <c r="F4" s="2112"/>
      <c r="G4" s="2111">
        <v>1</v>
      </c>
      <c r="H4" s="1143"/>
      <c r="I4" s="1143"/>
      <c r="J4" s="1143"/>
      <c r="K4" s="1143"/>
      <c r="L4" s="1144"/>
      <c r="M4" s="1145"/>
      <c r="N4" s="1145"/>
      <c r="O4" s="1145"/>
      <c r="P4" s="235"/>
      <c r="Q4" s="233"/>
      <c r="R4" s="234"/>
      <c r="S4" s="1200" t="e">
        <f>INDEX(PT_DIFFERENTIATION_NUM_CS,MATCH(C4,PT_DIFFERENTIATION_CS_ID,0))</f>
        <v>#N/A</v>
      </c>
      <c r="T4" s="186" t="s">
        <v>407</v>
      </c>
      <c r="U4" s="175"/>
      <c r="V4" s="2104"/>
      <c r="W4" s="2105"/>
      <c r="X4" s="2105"/>
      <c r="Y4" s="2105"/>
      <c r="Z4" s="2105"/>
      <c r="AA4" s="2105"/>
      <c r="AB4" s="2106"/>
      <c r="AC4" s="2104" t="e">
        <f>INDEX(PT_DIFFERENTIATION_CS,MATCH(C4,PT_DIFFERENTIATION_CS_ID,0))</f>
        <v>#N/A</v>
      </c>
      <c r="AD4" s="2105"/>
      <c r="AE4" s="2105"/>
      <c r="AF4" s="2105"/>
      <c r="AG4" s="2105"/>
      <c r="AH4" s="2105"/>
      <c r="AI4" s="2105"/>
      <c r="AJ4" s="2106"/>
      <c r="AK4" s="1044" t="s">
        <v>408</v>
      </c>
      <c r="AM4" s="368"/>
      <c r="AN4" s="368" t="str">
        <f t="shared" si="0"/>
        <v>Наименование централизованной системы холодного водоснабжения</v>
      </c>
      <c r="AO4" s="368"/>
      <c r="AP4" s="368"/>
    </row>
    <row r="5" spans="1:42" ht="23.25" hidden="1" customHeight="1">
      <c r="A5" s="1143"/>
      <c r="B5" s="1143"/>
      <c r="C5" s="1143"/>
      <c r="D5" s="1143"/>
      <c r="E5" s="2112"/>
      <c r="F5" s="2112"/>
      <c r="G5" s="2112"/>
      <c r="H5" s="2112"/>
      <c r="I5" s="2113" t="e">
        <f>S4&amp;".1"</f>
        <v>#N/A</v>
      </c>
      <c r="J5" s="1143"/>
      <c r="K5" s="1143"/>
      <c r="L5" s="1144"/>
      <c r="P5" s="2115">
        <v>1</v>
      </c>
      <c r="Q5" s="1197"/>
      <c r="R5" s="237"/>
      <c r="S5" s="1200" t="e">
        <f>$I5</f>
        <v>#N/A</v>
      </c>
      <c r="T5" s="161" t="s">
        <v>409</v>
      </c>
      <c r="U5" s="175"/>
      <c r="V5" s="2171"/>
      <c r="W5" s="2172"/>
      <c r="X5" s="2172"/>
      <c r="Y5" s="2172"/>
      <c r="Z5" s="2172"/>
      <c r="AA5" s="2172"/>
      <c r="AB5" s="2173"/>
      <c r="AC5" s="2174"/>
      <c r="AD5" s="2175"/>
      <c r="AE5" s="2175"/>
      <c r="AF5" s="2175"/>
      <c r="AG5" s="2175"/>
      <c r="AH5" s="2175"/>
      <c r="AI5" s="2175"/>
      <c r="AJ5" s="2176"/>
      <c r="AK5" s="1044" t="s">
        <v>410</v>
      </c>
      <c r="AM5" s="368"/>
      <c r="AN5" s="368" t="str">
        <f t="shared" si="0"/>
        <v>Наименование признака дифференциации</v>
      </c>
      <c r="AO5" s="368"/>
      <c r="AP5" s="368"/>
    </row>
    <row r="6" spans="1:42" ht="23.25" hidden="1" customHeight="1">
      <c r="A6" s="1143"/>
      <c r="B6" s="1143"/>
      <c r="C6" s="1143"/>
      <c r="D6" s="1143"/>
      <c r="E6" s="2112"/>
      <c r="F6" s="2112"/>
      <c r="G6" s="2112"/>
      <c r="H6" s="2112"/>
      <c r="I6" s="2114"/>
      <c r="J6" s="2113" t="e">
        <f>I5&amp;".1"</f>
        <v>#N/A</v>
      </c>
      <c r="K6" s="1143"/>
      <c r="L6" s="1144" t="s">
        <v>332</v>
      </c>
      <c r="P6" s="2115"/>
      <c r="Q6" s="2115">
        <v>1</v>
      </c>
      <c r="R6" s="238"/>
      <c r="S6" s="1200" t="e">
        <f>$J6</f>
        <v>#N/A</v>
      </c>
      <c r="T6" s="162" t="s">
        <v>333</v>
      </c>
      <c r="U6" s="175"/>
      <c r="V6" s="2098"/>
      <c r="W6" s="2099"/>
      <c r="X6" s="2099"/>
      <c r="Y6" s="2099"/>
      <c r="Z6" s="2099"/>
      <c r="AA6" s="2099"/>
      <c r="AB6" s="2100"/>
      <c r="AC6" s="2098"/>
      <c r="AD6" s="2099"/>
      <c r="AE6" s="2099"/>
      <c r="AF6" s="2099"/>
      <c r="AG6" s="2099"/>
      <c r="AH6" s="2099"/>
      <c r="AI6" s="2099"/>
      <c r="AJ6" s="2100"/>
      <c r="AK6" s="1090" t="s">
        <v>411</v>
      </c>
      <c r="AM6" s="368"/>
      <c r="AN6" s="368" t="str">
        <f t="shared" si="0"/>
        <v>Группа потребителей</v>
      </c>
      <c r="AO6" s="368"/>
      <c r="AP6" s="368"/>
    </row>
    <row r="7" spans="1:42" ht="23.25" hidden="1" customHeight="1">
      <c r="A7" s="1143"/>
      <c r="B7" s="1143"/>
      <c r="C7" s="1143"/>
      <c r="D7" s="1143"/>
      <c r="E7" s="2112"/>
      <c r="F7" s="2112"/>
      <c r="G7" s="2112"/>
      <c r="H7" s="2112"/>
      <c r="I7" s="2114"/>
      <c r="J7" s="2114"/>
      <c r="K7" s="2113" t="e">
        <f>J6&amp;".1"</f>
        <v>#N/A</v>
      </c>
      <c r="L7" s="1144"/>
      <c r="P7" s="2115"/>
      <c r="Q7" s="2115"/>
      <c r="R7" s="238">
        <v>1</v>
      </c>
      <c r="S7" s="1200" t="e">
        <f>$K7</f>
        <v>#N/A</v>
      </c>
      <c r="T7" s="1212"/>
      <c r="U7" s="175"/>
      <c r="V7" s="576"/>
      <c r="W7" s="576"/>
      <c r="X7" s="1043"/>
      <c r="Y7" s="2116"/>
      <c r="Z7" s="2109" t="s">
        <v>16</v>
      </c>
      <c r="AA7" s="2116"/>
      <c r="AB7" s="2109" t="s">
        <v>16</v>
      </c>
      <c r="AC7" s="576"/>
      <c r="AD7" s="576"/>
      <c r="AE7" s="1043"/>
      <c r="AF7" s="2116"/>
      <c r="AG7" s="2109" t="s">
        <v>16</v>
      </c>
      <c r="AH7" s="2118"/>
      <c r="AI7" s="2109" t="s">
        <v>16</v>
      </c>
      <c r="AJ7" s="1213"/>
      <c r="AK7"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79" t="e">
        <f ca="1">STRCHECKDATE(V8:AJ8)</f>
        <v>#NAME?</v>
      </c>
      <c r="AM7" s="368"/>
      <c r="AN7" s="368" t="str">
        <f t="shared" si="0"/>
        <v/>
      </c>
      <c r="AO7" s="368"/>
      <c r="AP7" s="368"/>
    </row>
    <row r="8" spans="1:42" ht="14.25" hidden="1" customHeight="1">
      <c r="A8" s="1143"/>
      <c r="B8" s="1143"/>
      <c r="C8" s="1143"/>
      <c r="D8" s="1143"/>
      <c r="E8" s="2112"/>
      <c r="F8" s="2112"/>
      <c r="G8" s="2112"/>
      <c r="H8" s="2112"/>
      <c r="I8" s="2114"/>
      <c r="J8" s="2114"/>
      <c r="K8" s="2113"/>
      <c r="L8" s="1144"/>
      <c r="P8" s="2115"/>
      <c r="Q8" s="2115"/>
      <c r="R8" s="238"/>
      <c r="S8" s="1199"/>
      <c r="T8" s="175"/>
      <c r="U8" s="175"/>
      <c r="V8" s="207"/>
      <c r="W8" s="207"/>
      <c r="X8" s="211" t="str">
        <f>Y7&amp;"-"&amp;AA7</f>
        <v>-</v>
      </c>
      <c r="Y8" s="2117"/>
      <c r="Z8" s="2109"/>
      <c r="AA8" s="2117"/>
      <c r="AB8" s="2109"/>
      <c r="AC8" s="207"/>
      <c r="AD8" s="207"/>
      <c r="AE8" s="211" t="str">
        <f>AF7&amp;"-"&amp;AH7</f>
        <v>-</v>
      </c>
      <c r="AF8" s="2117"/>
      <c r="AG8" s="2109"/>
      <c r="AH8" s="2119"/>
      <c r="AI8" s="2109"/>
      <c r="AJ8" s="1214"/>
      <c r="AK8" s="2177"/>
      <c r="AM8" s="368"/>
      <c r="AN8" s="368" t="str">
        <f t="shared" si="0"/>
        <v/>
      </c>
      <c r="AO8" s="368"/>
      <c r="AP8" s="368"/>
    </row>
    <row r="9" spans="1:42" ht="21" hidden="1" customHeight="1">
      <c r="A9" s="1143"/>
      <c r="B9" s="1143"/>
      <c r="C9" s="1143"/>
      <c r="D9" s="1143"/>
      <c r="E9" s="2112"/>
      <c r="F9" s="2112"/>
      <c r="G9" s="2112"/>
      <c r="H9" s="2112"/>
      <c r="I9" s="2114"/>
      <c r="J9" s="2113"/>
      <c r="K9" s="1143"/>
      <c r="L9" s="1144"/>
      <c r="P9" s="2115"/>
      <c r="Q9" s="2115"/>
      <c r="R9" s="237"/>
      <c r="S9" s="1062"/>
      <c r="T9" s="163" t="s">
        <v>412</v>
      </c>
      <c r="U9" s="251"/>
      <c r="V9" s="251"/>
      <c r="W9" s="251"/>
      <c r="X9" s="251"/>
      <c r="Y9" s="251"/>
      <c r="Z9" s="251"/>
      <c r="AA9" s="251"/>
      <c r="AB9" s="251"/>
      <c r="AC9" s="251"/>
      <c r="AD9" s="251"/>
      <c r="AE9" s="251"/>
      <c r="AF9" s="251"/>
      <c r="AG9" s="251"/>
      <c r="AH9" s="251"/>
      <c r="AI9" s="251"/>
      <c r="AJ9" s="251"/>
      <c r="AK9" s="1044" t="s">
        <v>413</v>
      </c>
      <c r="AM9" s="368"/>
      <c r="AN9" s="368" t="str">
        <f t="shared" si="0"/>
        <v>Добавить значение признака дифференциации</v>
      </c>
      <c r="AO9" s="368"/>
      <c r="AP9" s="368"/>
    </row>
    <row r="10" spans="1:42" ht="21" hidden="1" customHeight="1">
      <c r="A10" s="1143"/>
      <c r="B10" s="1143"/>
      <c r="C10" s="1143"/>
      <c r="D10" s="1143"/>
      <c r="E10" s="2112"/>
      <c r="F10" s="2112"/>
      <c r="G10" s="2112"/>
      <c r="H10" s="2112"/>
      <c r="I10" s="2113"/>
      <c r="J10" s="1143"/>
      <c r="K10" s="1143"/>
      <c r="L10" s="1144"/>
      <c r="P10" s="2115"/>
      <c r="Q10" s="1197"/>
      <c r="R10" s="237"/>
      <c r="S10" s="1062"/>
      <c r="T10" s="248" t="s">
        <v>338</v>
      </c>
      <c r="U10" s="251"/>
      <c r="V10" s="251"/>
      <c r="W10" s="251"/>
      <c r="X10" s="251"/>
      <c r="Y10" s="251"/>
      <c r="Z10" s="251"/>
      <c r="AA10" s="251"/>
      <c r="AB10" s="250"/>
      <c r="AC10" s="251"/>
      <c r="AD10" s="251"/>
      <c r="AE10" s="251"/>
      <c r="AF10" s="251"/>
      <c r="AG10" s="251"/>
      <c r="AH10" s="251"/>
      <c r="AI10" s="250"/>
      <c r="AJ10" s="251"/>
      <c r="AK10" s="1215"/>
      <c r="AM10" s="368"/>
      <c r="AN10" s="368" t="str">
        <f t="shared" si="0"/>
        <v>Добавить группу потребителей</v>
      </c>
      <c r="AO10" s="368"/>
      <c r="AP10" s="368"/>
    </row>
    <row r="11" spans="1:42" ht="14.25" hidden="1" customHeight="1">
      <c r="A11" s="1143"/>
      <c r="B11" s="1143"/>
      <c r="C11" s="1143"/>
      <c r="D11" s="1143"/>
      <c r="E11" s="2112"/>
      <c r="F11" s="2112"/>
      <c r="G11" s="2112"/>
      <c r="H11" s="2111"/>
      <c r="I11" s="1143"/>
      <c r="J11" s="1143"/>
      <c r="K11" s="1143"/>
      <c r="L11" s="1144"/>
      <c r="M11" s="1145"/>
      <c r="N11" s="1145"/>
      <c r="O11" s="395"/>
      <c r="P11" s="241"/>
      <c r="Q11" s="260"/>
      <c r="R11" s="236"/>
      <c r="S11" s="1062"/>
      <c r="T11" s="256" t="s">
        <v>414</v>
      </c>
      <c r="U11" s="251"/>
      <c r="V11" s="251"/>
      <c r="W11" s="251"/>
      <c r="X11" s="251"/>
      <c r="Y11" s="251"/>
      <c r="Z11" s="251"/>
      <c r="AA11" s="251"/>
      <c r="AB11" s="250"/>
      <c r="AC11" s="251"/>
      <c r="AD11" s="251"/>
      <c r="AE11" s="251"/>
      <c r="AF11" s="251"/>
      <c r="AG11" s="251"/>
      <c r="AH11" s="251"/>
      <c r="AI11" s="250"/>
      <c r="AJ11" s="251"/>
      <c r="AK11" s="178"/>
      <c r="AM11" s="368"/>
      <c r="AN11" s="368" t="str">
        <f t="shared" si="0"/>
        <v>Добавить наименование признака дифференциации</v>
      </c>
      <c r="AO11" s="368"/>
      <c r="AP11" s="368"/>
    </row>
    <row r="12" spans="1:42" s="1686" customFormat="1" ht="14.25" hidden="1" customHeight="1">
      <c r="A12" s="1124"/>
      <c r="B12" s="1124"/>
      <c r="C12" s="1096"/>
      <c r="D12" s="1096"/>
      <c r="E12" s="2112"/>
      <c r="F12" s="2111"/>
      <c r="G12" s="1096"/>
      <c r="H12" s="1096"/>
      <c r="I12" s="1096"/>
      <c r="J12" s="1096"/>
      <c r="K12" s="1096"/>
      <c r="L12" s="1201"/>
      <c r="M12" s="1103"/>
      <c r="N12" s="1103"/>
      <c r="P12" s="1098"/>
      <c r="Q12" s="1099"/>
      <c r="R12" s="1098"/>
      <c r="S12" s="1104"/>
      <c r="T12" s="1107" t="s">
        <v>341</v>
      </c>
      <c r="U12" s="1106"/>
      <c r="V12" s="1106"/>
      <c r="W12" s="1106"/>
      <c r="X12" s="1106"/>
      <c r="Y12" s="1106"/>
      <c r="Z12" s="1106"/>
      <c r="AA12" s="1106"/>
      <c r="AB12" s="1106"/>
      <c r="AC12" s="1106"/>
      <c r="AD12" s="1106"/>
      <c r="AE12" s="1106"/>
      <c r="AF12" s="1106"/>
      <c r="AG12" s="1106"/>
      <c r="AH12" s="1106"/>
      <c r="AI12" s="1106"/>
      <c r="AJ12" s="1106"/>
      <c r="AK12" s="1106"/>
      <c r="AM12" s="598"/>
      <c r="AN12" s="598" t="str">
        <f t="shared" si="0"/>
        <v>Добавить централизованную систему для дифференциации</v>
      </c>
      <c r="AO12" s="598"/>
      <c r="AP12" s="598"/>
    </row>
    <row r="13" spans="1:42" s="1622" customFormat="1" ht="14.25" hidden="1" customHeight="1">
      <c r="A13" s="1124"/>
      <c r="B13" s="1124"/>
      <c r="C13" s="1124"/>
      <c r="D13" s="1124"/>
      <c r="E13" s="2111"/>
      <c r="F13" s="1124"/>
      <c r="G13" s="1124"/>
      <c r="H13" s="1124"/>
      <c r="I13" s="1124"/>
      <c r="J13" s="1124"/>
      <c r="K13" s="1124"/>
      <c r="L13" s="1127"/>
      <c r="M13" s="1103"/>
      <c r="N13" s="1103"/>
      <c r="O13" s="386"/>
      <c r="P13" s="269"/>
      <c r="Q13" s="1125"/>
      <c r="R13" s="269"/>
      <c r="S13" s="1104"/>
      <c r="T13" s="1107" t="s">
        <v>342</v>
      </c>
      <c r="U13" s="1106"/>
      <c r="V13" s="1106"/>
      <c r="W13" s="1106"/>
      <c r="X13" s="1106"/>
      <c r="Y13" s="1106"/>
      <c r="Z13" s="1106"/>
      <c r="AA13" s="1106"/>
      <c r="AB13" s="1106"/>
      <c r="AC13" s="1106"/>
      <c r="AD13" s="1106"/>
      <c r="AE13" s="1106"/>
      <c r="AF13" s="1106"/>
      <c r="AG13" s="1106"/>
      <c r="AH13" s="1106"/>
      <c r="AI13" s="1106"/>
      <c r="AJ13" s="1106"/>
      <c r="AK13" s="1106"/>
      <c r="AM13" s="368"/>
      <c r="AN13" s="368" t="str">
        <f t="shared" si="0"/>
        <v>Добавить территорию для дифференциации</v>
      </c>
      <c r="AO13" s="368"/>
      <c r="AP13" s="368"/>
    </row>
    <row r="14" spans="1:42" ht="14.25" hidden="1" customHeight="1">
      <c r="AB14" s="210"/>
      <c r="AI14" s="210"/>
    </row>
    <row r="15" spans="1:42" ht="14.25" hidden="1" customHeight="1">
      <c r="AC15" s="1140"/>
      <c r="AD15" s="1140"/>
      <c r="AE15" s="1141"/>
      <c r="AF15" s="2108"/>
      <c r="AG15" s="2107" t="s">
        <v>16</v>
      </c>
      <c r="AH15" s="2108"/>
      <c r="AI15" s="2107" t="s">
        <v>16</v>
      </c>
    </row>
    <row r="16" spans="1:42" ht="14.25" hidden="1" customHeight="1">
      <c r="AC16" s="1140"/>
      <c r="AD16" s="1140"/>
      <c r="AE16" s="211" t="str">
        <f>AF15&amp;"-"&amp;AH15</f>
        <v>-</v>
      </c>
      <c r="AF16" s="2107"/>
      <c r="AG16" s="2107"/>
      <c r="AH16" s="2107"/>
      <c r="AI16" s="2107"/>
    </row>
    <row r="17" spans="1:42" ht="14.25" hidden="1" customHeight="1">
      <c r="AI17" s="210"/>
    </row>
    <row r="18" spans="1:42" s="1687" customFormat="1" ht="22.5" hidden="1" customHeight="1">
      <c r="L18" s="1196"/>
      <c r="M18" s="1142"/>
      <c r="N18" s="1142"/>
      <c r="O18" s="1147" t="s">
        <v>343</v>
      </c>
      <c r="P18" s="1142"/>
      <c r="Q18" s="1151"/>
      <c r="R18" s="1151"/>
      <c r="S18" s="556"/>
      <c r="Y18" s="1147"/>
      <c r="AA18" s="1147"/>
      <c r="AB18" s="1146"/>
      <c r="AF18" s="1147"/>
      <c r="AH18" s="1147"/>
      <c r="AI18" s="1146"/>
      <c r="AL18" s="379"/>
      <c r="AM18" s="379"/>
      <c r="AN18" s="379"/>
      <c r="AO18" s="379"/>
      <c r="AP18" s="379"/>
    </row>
    <row r="19" spans="1:42" s="1687" customFormat="1" ht="14.25" hidden="1" customHeight="1">
      <c r="L19" s="1196"/>
      <c r="M19" s="1142"/>
      <c r="N19" s="1142"/>
      <c r="O19" s="1142"/>
      <c r="P19" s="1142"/>
      <c r="Q19" s="1151"/>
      <c r="R19" s="1151"/>
      <c r="S19" s="556"/>
      <c r="AB19" s="1146"/>
      <c r="AI19" s="1146"/>
      <c r="AL19" s="379"/>
      <c r="AM19" s="379"/>
      <c r="AN19" s="379"/>
      <c r="AO19" s="379"/>
      <c r="AP19" s="379"/>
    </row>
    <row r="20" spans="1:42" s="1687" customFormat="1" ht="12" hidden="1" customHeight="1">
      <c r="L20" s="1196"/>
      <c r="M20" s="1142"/>
      <c r="N20" s="1142"/>
      <c r="O20" s="1144" t="s">
        <v>344</v>
      </c>
      <c r="P20" s="1142"/>
      <c r="Q20" s="1216"/>
      <c r="R20" s="1216"/>
      <c r="S20" s="556"/>
      <c r="T20" s="929" t="s">
        <v>345</v>
      </c>
      <c r="Z20" s="86" t="s">
        <v>346</v>
      </c>
      <c r="AB20" s="86" t="s">
        <v>347</v>
      </c>
      <c r="AC20" s="929" t="s">
        <v>345</v>
      </c>
      <c r="AG20" s="86" t="s">
        <v>348</v>
      </c>
      <c r="AI20" s="86" t="s">
        <v>347</v>
      </c>
    </row>
    <row r="21" spans="1:42" ht="14.25" hidden="1" customHeight="1">
      <c r="O21" s="1144"/>
    </row>
    <row r="22" spans="1:42" ht="14.25" hidden="1" customHeight="1">
      <c r="O22" s="1144"/>
    </row>
    <row r="23" spans="1:42" ht="14.25" customHeight="1">
      <c r="Q23" s="261"/>
      <c r="R23" s="261"/>
      <c r="S23" s="1059"/>
      <c r="T23" s="246"/>
      <c r="U23" s="246"/>
      <c r="V23" s="377"/>
      <c r="W23" s="377"/>
      <c r="X23" s="377"/>
      <c r="Y23" s="377"/>
      <c r="Z23" s="377"/>
      <c r="AA23" s="377"/>
      <c r="AB23" s="377"/>
      <c r="AC23" s="377"/>
      <c r="AD23" s="377"/>
      <c r="AE23" s="377"/>
      <c r="AF23" s="377"/>
      <c r="AG23" s="377"/>
      <c r="AH23" s="377"/>
      <c r="AI23" s="377"/>
    </row>
    <row r="24" spans="1:42" ht="14.25" customHeight="1">
      <c r="Q24" s="261"/>
      <c r="R24" s="261"/>
      <c r="S24" s="208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88"/>
      <c r="U24" s="2088"/>
      <c r="V24" s="2088"/>
      <c r="W24" s="2088"/>
      <c r="X24" s="2088"/>
      <c r="Y24" s="2088"/>
      <c r="Z24" s="2088"/>
      <c r="AA24" s="2088"/>
      <c r="AB24" s="2088"/>
      <c r="AC24" s="2088"/>
      <c r="AD24" s="2088"/>
      <c r="AE24" s="2088"/>
      <c r="AF24" s="2088"/>
      <c r="AG24" s="2088"/>
      <c r="AH24" s="2088"/>
      <c r="AI24" s="1019"/>
    </row>
    <row r="25" spans="1:42" ht="14.25" customHeight="1">
      <c r="Q25" s="261"/>
      <c r="R25" s="261"/>
      <c r="S25" s="2059" t="e">
        <f>IF(org=0,"Не определено",org)</f>
        <v>#REF!</v>
      </c>
      <c r="T25" s="2059"/>
      <c r="U25" s="2059"/>
      <c r="V25" s="2059"/>
      <c r="W25" s="2059"/>
      <c r="X25" s="2059"/>
      <c r="Y25" s="2059"/>
      <c r="Z25" s="2059"/>
      <c r="AA25" s="2059"/>
      <c r="AB25" s="2059"/>
      <c r="AC25" s="2059"/>
      <c r="AD25" s="2059"/>
      <c r="AE25" s="2059"/>
      <c r="AF25" s="2059"/>
      <c r="AG25" s="2059"/>
      <c r="AH25" s="2059"/>
      <c r="AI25" s="1019"/>
    </row>
    <row r="26" spans="1:42" ht="14.25" hidden="1" customHeight="1">
      <c r="Q26" s="261"/>
      <c r="R26" s="261"/>
      <c r="S26" s="1059"/>
      <c r="T26" s="246"/>
      <c r="U26" s="246"/>
      <c r="V26" s="203"/>
      <c r="W26" s="203"/>
      <c r="X26" s="203"/>
      <c r="Y26" s="203"/>
      <c r="Z26" s="203"/>
      <c r="AA26" s="203"/>
      <c r="AB26" s="203"/>
      <c r="AC26" s="203"/>
      <c r="AD26" s="203"/>
      <c r="AE26" s="203"/>
      <c r="AF26" s="203"/>
      <c r="AG26" s="203"/>
      <c r="AH26" s="203"/>
      <c r="AI26" s="203"/>
      <c r="AJ26" s="377"/>
    </row>
    <row r="27" spans="1:42" s="1692" customFormat="1" ht="25.5" hidden="1" customHeight="1">
      <c r="A27" s="1148"/>
      <c r="B27" s="1148"/>
      <c r="C27" s="1148"/>
      <c r="D27" s="1148"/>
      <c r="E27" s="1148"/>
      <c r="F27" s="1148"/>
      <c r="G27" s="1148"/>
      <c r="H27" s="1148"/>
      <c r="I27" s="1148"/>
      <c r="J27" s="1148"/>
      <c r="K27" s="1148"/>
      <c r="L27" s="1149"/>
      <c r="M27" s="1148"/>
      <c r="N27" s="1148"/>
      <c r="O27" s="1148"/>
      <c r="S27" s="2101" t="s">
        <v>6</v>
      </c>
      <c r="T27" s="2101"/>
      <c r="U27" s="1152"/>
      <c r="V27" s="2103" t="e">
        <f>IF(TITLE_NAME_OR_PR_CHANGE="",IF(TITLE_NAME_OR_PR="","",TITLE_NAME_OR_PR),TITLE_NAME_OR_PR_CHANGE)</f>
        <v>#REF!</v>
      </c>
      <c r="W27" s="2103"/>
      <c r="X27" s="2103"/>
      <c r="Y27" s="2103"/>
      <c r="Z27" s="2103"/>
      <c r="AA27" s="2103"/>
      <c r="AB27" s="209"/>
      <c r="AC27" s="2103" t="e">
        <f>IF(TITLE_NAME_OR_PR_CHANGE="",IF(TITLE_NAME_OR_PR="","",TITLE_NAME_OR_PR),TITLE_NAME_OR_PR_CHANGE)</f>
        <v>#REF!</v>
      </c>
      <c r="AD27" s="2103"/>
      <c r="AE27" s="2103"/>
      <c r="AF27" s="2103"/>
      <c r="AG27" s="2103"/>
      <c r="AH27" s="2103"/>
      <c r="AI27" s="209"/>
      <c r="AJ27" s="209"/>
      <c r="AK27" s="157"/>
      <c r="AL27" s="252"/>
      <c r="AM27" s="252"/>
      <c r="AN27" s="252"/>
      <c r="AO27" s="252"/>
      <c r="AP27" s="252"/>
    </row>
    <row r="28" spans="1:42" s="1692" customFormat="1" ht="18.75" hidden="1" customHeight="1">
      <c r="A28" s="1148"/>
      <c r="B28" s="1148"/>
      <c r="C28" s="1148"/>
      <c r="D28" s="1148"/>
      <c r="E28" s="1148"/>
      <c r="F28" s="1148"/>
      <c r="G28" s="1148"/>
      <c r="H28" s="1148"/>
      <c r="I28" s="1148"/>
      <c r="J28" s="1148"/>
      <c r="K28" s="1148"/>
      <c r="L28" s="1149"/>
      <c r="M28" s="1148"/>
      <c r="N28" s="1148"/>
      <c r="O28" s="1148"/>
      <c r="S28" s="2101" t="s">
        <v>349</v>
      </c>
      <c r="T28" s="2101"/>
      <c r="U28" s="1152"/>
      <c r="V28" s="2102" t="e">
        <f>IF(TITLE_DATE_PR_CHANGE="",IF(TITLE_DATE_PR="","",TITLE_DATE_PR),TITLE_DATE_PR_CHANGE)</f>
        <v>#REF!</v>
      </c>
      <c r="W28" s="2102"/>
      <c r="X28" s="2102"/>
      <c r="Y28" s="2102"/>
      <c r="Z28" s="2102"/>
      <c r="AA28" s="2102"/>
      <c r="AB28" s="209"/>
      <c r="AC28" s="2102" t="e">
        <f>IF(TITLE_DATE_PR_CHANGE="",IF(TITLE_DATE_PR="","",TITLE_DATE_PR),TITLE_DATE_PR_CHANGE)</f>
        <v>#REF!</v>
      </c>
      <c r="AD28" s="2102"/>
      <c r="AE28" s="2102"/>
      <c r="AF28" s="2102"/>
      <c r="AG28" s="2102"/>
      <c r="AH28" s="2102"/>
      <c r="AI28" s="209"/>
      <c r="AJ28" s="209"/>
      <c r="AK28" s="157"/>
      <c r="AL28" s="252"/>
      <c r="AM28" s="252"/>
      <c r="AN28" s="252"/>
      <c r="AO28" s="252"/>
      <c r="AP28" s="252"/>
    </row>
    <row r="29" spans="1:42" s="1692" customFormat="1" ht="18.75" hidden="1" customHeight="1">
      <c r="A29" s="1148"/>
      <c r="B29" s="1148"/>
      <c r="C29" s="1148"/>
      <c r="D29" s="1148"/>
      <c r="E29" s="1148"/>
      <c r="F29" s="1148"/>
      <c r="G29" s="1148"/>
      <c r="H29" s="1148"/>
      <c r="I29" s="1148"/>
      <c r="J29" s="1148"/>
      <c r="K29" s="1148"/>
      <c r="L29" s="1149"/>
      <c r="M29" s="1148"/>
      <c r="N29" s="1148"/>
      <c r="O29" s="1148"/>
      <c r="S29" s="2101" t="s">
        <v>350</v>
      </c>
      <c r="T29" s="2101"/>
      <c r="U29" s="1152"/>
      <c r="V29" s="2103" t="e">
        <f>IF(TITLE_NUMBER_PR_CHANGE="",IF(TITLE_NUMBER_PR="","",TITLE_NUMBER_PR),TITLE_NUMBER_PR_CHANGE)</f>
        <v>#REF!</v>
      </c>
      <c r="W29" s="2103"/>
      <c r="X29" s="2103"/>
      <c r="Y29" s="2103"/>
      <c r="Z29" s="2103"/>
      <c r="AA29" s="2103"/>
      <c r="AB29" s="209"/>
      <c r="AC29" s="2103" t="e">
        <f>IF(TITLE_NUMBER_PR_CHANGE="",IF(TITLE_NUMBER_PR="","",TITLE_NUMBER_PR),TITLE_NUMBER_PR_CHANGE)</f>
        <v>#REF!</v>
      </c>
      <c r="AD29" s="2103"/>
      <c r="AE29" s="2103"/>
      <c r="AF29" s="2103"/>
      <c r="AG29" s="2103"/>
      <c r="AH29" s="2103"/>
      <c r="AI29" s="209"/>
      <c r="AJ29" s="209"/>
      <c r="AK29" s="157"/>
      <c r="AL29" s="252"/>
      <c r="AM29" s="252"/>
      <c r="AN29" s="252"/>
      <c r="AO29" s="252"/>
      <c r="AP29" s="252"/>
    </row>
    <row r="30" spans="1:42" s="1692" customFormat="1" ht="18.75" hidden="1" customHeight="1">
      <c r="A30" s="1148"/>
      <c r="B30" s="1148"/>
      <c r="C30" s="1148"/>
      <c r="D30" s="1148"/>
      <c r="E30" s="1148"/>
      <c r="F30" s="1148"/>
      <c r="G30" s="1148"/>
      <c r="H30" s="1148"/>
      <c r="I30" s="1148"/>
      <c r="J30" s="1148"/>
      <c r="K30" s="1148"/>
      <c r="L30" s="1149"/>
      <c r="M30" s="1148"/>
      <c r="N30" s="1148"/>
      <c r="O30" s="1148"/>
      <c r="S30" s="2101" t="s">
        <v>7</v>
      </c>
      <c r="T30" s="2101"/>
      <c r="U30" s="1152"/>
      <c r="V30" s="2103" t="e">
        <f>IF(TITLE_IST_PUB_CHANGE="",IF(TITLE_IST_PUB="","",TITLE_IST_PUB),TITLE_IST_PUB_CHANGE)</f>
        <v>#REF!</v>
      </c>
      <c r="W30" s="2103"/>
      <c r="X30" s="2103"/>
      <c r="Y30" s="2103"/>
      <c r="Z30" s="2103"/>
      <c r="AA30" s="2103"/>
      <c r="AB30" s="209"/>
      <c r="AC30" s="2103" t="e">
        <f>IF(TITLE_IST_PUB_CHANGE="",IF(TITLE_IST_PUB="","",TITLE_IST_PUB),TITLE_IST_PUB_CHANGE)</f>
        <v>#REF!</v>
      </c>
      <c r="AD30" s="2103"/>
      <c r="AE30" s="2103"/>
      <c r="AF30" s="2103"/>
      <c r="AG30" s="2103"/>
      <c r="AH30" s="2103"/>
      <c r="AI30" s="209"/>
      <c r="AJ30" s="209"/>
      <c r="AK30" s="157"/>
      <c r="AL30" s="252"/>
      <c r="AM30" s="252"/>
      <c r="AN30" s="252"/>
      <c r="AO30" s="252"/>
      <c r="AP30" s="252"/>
    </row>
    <row r="31" spans="1:42" ht="14.25" hidden="1" customHeight="1">
      <c r="Q31" s="261"/>
      <c r="R31" s="261"/>
      <c r="S31" s="1059"/>
      <c r="T31" s="246"/>
      <c r="U31" s="246"/>
      <c r="V31" s="203"/>
      <c r="W31" s="203"/>
      <c r="X31" s="203"/>
      <c r="Y31" s="203"/>
      <c r="Z31" s="203"/>
      <c r="AA31" s="203"/>
      <c r="AB31" s="203"/>
      <c r="AC31" s="203"/>
      <c r="AD31" s="203"/>
      <c r="AE31" s="203"/>
      <c r="AF31" s="203"/>
      <c r="AG31" s="203"/>
      <c r="AH31" s="203"/>
      <c r="AI31" s="203"/>
      <c r="AJ31" s="377"/>
    </row>
    <row r="32" spans="1:42" s="1692" customFormat="1" ht="18.75" hidden="1" customHeight="1">
      <c r="A32" s="1148"/>
      <c r="B32" s="1148"/>
      <c r="C32" s="1148"/>
      <c r="D32" s="1148"/>
      <c r="E32" s="1148"/>
      <c r="F32" s="1148"/>
      <c r="G32" s="1148"/>
      <c r="H32" s="1148"/>
      <c r="I32" s="1148"/>
      <c r="J32" s="1148"/>
      <c r="K32" s="1148"/>
      <c r="L32" s="1149"/>
      <c r="M32" s="1148"/>
      <c r="N32" s="1148"/>
      <c r="O32" s="1148"/>
      <c r="S32" s="2101" t="s">
        <v>351</v>
      </c>
      <c r="T32" s="2101"/>
      <c r="U32" s="1152"/>
      <c r="V32" s="2102" t="e">
        <f>IF(TITLE_DATE_PR_CHANGE="",IF(TITLE_DATE_PR="","",TITLE_DATE_PR),TITLE_DATE_PR_CHANGE)</f>
        <v>#REF!</v>
      </c>
      <c r="W32" s="2102"/>
      <c r="X32" s="2102"/>
      <c r="Y32" s="2102"/>
      <c r="Z32" s="2102"/>
      <c r="AA32" s="2102"/>
      <c r="AB32" s="209"/>
      <c r="AC32" s="2102" t="e">
        <f>IF(TITLE_DATE_PR_CHANGE="",IF(TITLE_DATE_PR="","",TITLE_DATE_PR),TITLE_DATE_PR_CHANGE)</f>
        <v>#REF!</v>
      </c>
      <c r="AD32" s="2102"/>
      <c r="AE32" s="2102"/>
      <c r="AF32" s="2102"/>
      <c r="AG32" s="2102"/>
      <c r="AH32" s="2102"/>
      <c r="AI32" s="209"/>
      <c r="AJ32" s="209"/>
      <c r="AK32" s="157"/>
      <c r="AL32" s="252"/>
      <c r="AM32" s="252"/>
      <c r="AN32" s="252"/>
      <c r="AO32" s="252"/>
      <c r="AP32" s="252"/>
    </row>
    <row r="33" spans="1:42" s="1692" customFormat="1" ht="18.75" hidden="1" customHeight="1">
      <c r="A33" s="1148"/>
      <c r="B33" s="1148"/>
      <c r="C33" s="1148"/>
      <c r="D33" s="1148"/>
      <c r="E33" s="1148"/>
      <c r="F33" s="1148"/>
      <c r="G33" s="1148"/>
      <c r="H33" s="1148"/>
      <c r="I33" s="1148"/>
      <c r="J33" s="1148"/>
      <c r="K33" s="1148"/>
      <c r="L33" s="1149"/>
      <c r="M33" s="1148"/>
      <c r="N33" s="1148"/>
      <c r="O33" s="1148"/>
      <c r="S33" s="2101" t="s">
        <v>352</v>
      </c>
      <c r="T33" s="2101"/>
      <c r="U33" s="1152"/>
      <c r="V33" s="2103" t="e">
        <f>IF(TITLE_NUMBER_PR_CHANGE="",IF(TITLE_NUMBER_PR="","",TITLE_NUMBER_PR),TITLE_NUMBER_PR_CHANGE)</f>
        <v>#REF!</v>
      </c>
      <c r="W33" s="2103"/>
      <c r="X33" s="2103"/>
      <c r="Y33" s="2103"/>
      <c r="Z33" s="2103"/>
      <c r="AA33" s="2103"/>
      <c r="AB33" s="209"/>
      <c r="AC33" s="2103" t="e">
        <f>IF(TITLE_NUMBER_PR_CHANGE="",IF(TITLE_NUMBER_PR="","",TITLE_NUMBER_PR),TITLE_NUMBER_PR_CHANGE)</f>
        <v>#REF!</v>
      </c>
      <c r="AD33" s="2103"/>
      <c r="AE33" s="2103"/>
      <c r="AF33" s="2103"/>
      <c r="AG33" s="2103"/>
      <c r="AH33" s="2103"/>
      <c r="AI33" s="209"/>
      <c r="AJ33" s="209"/>
      <c r="AK33" s="157"/>
      <c r="AL33" s="252"/>
      <c r="AM33" s="252"/>
      <c r="AN33" s="252"/>
      <c r="AO33" s="252"/>
      <c r="AP33" s="252"/>
    </row>
    <row r="34" spans="1:42" s="1692" customFormat="1" ht="0.75" customHeight="1">
      <c r="A34" s="1148"/>
      <c r="B34" s="1148"/>
      <c r="C34" s="1148"/>
      <c r="D34" s="1148"/>
      <c r="E34" s="1148"/>
      <c r="F34" s="1148"/>
      <c r="G34" s="1148"/>
      <c r="H34" s="1148"/>
      <c r="I34" s="1148"/>
      <c r="J34" s="1148"/>
      <c r="K34" s="1148"/>
      <c r="L34" s="1149"/>
      <c r="M34" s="1148"/>
      <c r="N34" s="1148"/>
      <c r="O34" s="1148"/>
      <c r="S34" s="205"/>
      <c r="T34" s="205"/>
      <c r="U34" s="1135"/>
      <c r="V34" s="209"/>
      <c r="W34" s="209"/>
      <c r="X34" s="209"/>
      <c r="Y34" s="209"/>
      <c r="Z34" s="209"/>
      <c r="AA34" s="209"/>
      <c r="AB34" s="155" t="s">
        <v>353</v>
      </c>
      <c r="AC34" s="209"/>
      <c r="AD34" s="209"/>
      <c r="AE34" s="209"/>
      <c r="AF34" s="209"/>
      <c r="AG34" s="209"/>
      <c r="AH34" s="209"/>
      <c r="AI34" s="155" t="s">
        <v>353</v>
      </c>
      <c r="AL34" s="252"/>
      <c r="AM34" s="252"/>
      <c r="AN34" s="252"/>
      <c r="AO34" s="252"/>
      <c r="AP34" s="252"/>
    </row>
    <row r="35" spans="1:42" ht="14.25" customHeight="1">
      <c r="Q35" s="261"/>
      <c r="R35" s="261"/>
      <c r="S35" s="1059"/>
      <c r="T35" s="246"/>
      <c r="U35" s="1020"/>
      <c r="V35" s="2123"/>
      <c r="W35" s="2123"/>
      <c r="X35" s="2123"/>
      <c r="Y35" s="2123"/>
      <c r="Z35" s="2123"/>
      <c r="AA35" s="2123"/>
      <c r="AB35" s="2123"/>
      <c r="AC35" s="2123"/>
      <c r="AD35" s="2123"/>
      <c r="AE35" s="2123"/>
      <c r="AF35" s="2123"/>
      <c r="AG35" s="2123"/>
      <c r="AH35" s="2123"/>
      <c r="AI35" s="2123"/>
    </row>
    <row r="36" spans="1:42" ht="14.25" customHeight="1">
      <c r="Q36" s="261"/>
      <c r="R36" s="261"/>
      <c r="S36" s="2025" t="s">
        <v>224</v>
      </c>
      <c r="T36" s="2025"/>
      <c r="U36" s="2025"/>
      <c r="V36" s="2025"/>
      <c r="W36" s="2025"/>
      <c r="X36" s="2025"/>
      <c r="Y36" s="2025"/>
      <c r="Z36" s="2025"/>
      <c r="AA36" s="2025"/>
      <c r="AB36" s="2025"/>
      <c r="AC36" s="2025"/>
      <c r="AD36" s="2025"/>
      <c r="AE36" s="2025"/>
      <c r="AF36" s="2025"/>
      <c r="AG36" s="2025"/>
      <c r="AH36" s="2025"/>
      <c r="AI36" s="2025"/>
      <c r="AJ36" s="2025"/>
      <c r="AK36" s="2025" t="s">
        <v>225</v>
      </c>
    </row>
    <row r="37" spans="1:42" ht="14.25" customHeight="1">
      <c r="Q37" s="261"/>
      <c r="R37" s="261"/>
      <c r="S37" s="2124" t="s">
        <v>22</v>
      </c>
      <c r="T37" s="2068" t="s">
        <v>354</v>
      </c>
      <c r="U37" s="176"/>
      <c r="V37" s="2125" t="s">
        <v>355</v>
      </c>
      <c r="W37" s="2126"/>
      <c r="X37" s="2126"/>
      <c r="Y37" s="2126"/>
      <c r="Z37" s="2126"/>
      <c r="AA37" s="2127"/>
      <c r="AB37" s="2128" t="s">
        <v>356</v>
      </c>
      <c r="AC37" s="2125" t="s">
        <v>355</v>
      </c>
      <c r="AD37" s="2126"/>
      <c r="AE37" s="2126"/>
      <c r="AF37" s="2126"/>
      <c r="AG37" s="2126"/>
      <c r="AH37" s="2127"/>
      <c r="AI37" s="2128" t="s">
        <v>357</v>
      </c>
      <c r="AJ37" s="2131" t="s">
        <v>358</v>
      </c>
      <c r="AK37" s="2025"/>
    </row>
    <row r="38" spans="1:42" ht="33.75" customHeight="1">
      <c r="Q38" s="261"/>
      <c r="R38" s="261"/>
      <c r="S38" s="2124"/>
      <c r="T38" s="2068"/>
      <c r="U38" s="814"/>
      <c r="V38" s="1132" t="s">
        <v>415</v>
      </c>
      <c r="W38" s="1956" t="s">
        <v>361</v>
      </c>
      <c r="X38" s="1958"/>
      <c r="Y38" s="1956" t="s">
        <v>362</v>
      </c>
      <c r="Z38" s="1957"/>
      <c r="AA38" s="1958"/>
      <c r="AB38" s="2129"/>
      <c r="AC38" s="1132" t="s">
        <v>415</v>
      </c>
      <c r="AD38" s="1956" t="s">
        <v>361</v>
      </c>
      <c r="AE38" s="1958"/>
      <c r="AF38" s="1956" t="s">
        <v>362</v>
      </c>
      <c r="AG38" s="1957"/>
      <c r="AH38" s="1958"/>
      <c r="AI38" s="2129"/>
      <c r="AJ38" s="2132"/>
      <c r="AK38" s="2025"/>
    </row>
    <row r="39" spans="1:42" ht="33.75" customHeight="1">
      <c r="A39" s="1150"/>
      <c r="B39" s="1150" t="s">
        <v>73</v>
      </c>
      <c r="C39" s="1150" t="s">
        <v>74</v>
      </c>
      <c r="D39" s="1150" t="s">
        <v>75</v>
      </c>
      <c r="E39" s="1144" t="s">
        <v>363</v>
      </c>
      <c r="F39" s="1144" t="s">
        <v>364</v>
      </c>
      <c r="G39" s="1144" t="s">
        <v>365</v>
      </c>
      <c r="H39" s="1144"/>
      <c r="I39" s="1144" t="s">
        <v>416</v>
      </c>
      <c r="J39" s="1144" t="s">
        <v>368</v>
      </c>
      <c r="K39" s="1144" t="s">
        <v>417</v>
      </c>
      <c r="L39" s="1144" t="s">
        <v>344</v>
      </c>
      <c r="Q39" s="261"/>
      <c r="R39" s="261"/>
      <c r="S39" s="2124"/>
      <c r="T39" s="2068"/>
      <c r="U39" s="177"/>
      <c r="V39" s="1132" t="s">
        <v>418</v>
      </c>
      <c r="W39" s="995" t="s">
        <v>419</v>
      </c>
      <c r="X39" s="995" t="s">
        <v>420</v>
      </c>
      <c r="Y39" s="1137" t="s">
        <v>372</v>
      </c>
      <c r="Z39" s="2073" t="s">
        <v>373</v>
      </c>
      <c r="AA39" s="2087"/>
      <c r="AB39" s="2130"/>
      <c r="AC39" s="1132" t="s">
        <v>418</v>
      </c>
      <c r="AD39" s="995" t="s">
        <v>419</v>
      </c>
      <c r="AE39" s="995" t="s">
        <v>420</v>
      </c>
      <c r="AF39" s="1137" t="s">
        <v>372</v>
      </c>
      <c r="AG39" s="2073" t="s">
        <v>373</v>
      </c>
      <c r="AH39" s="2087"/>
      <c r="AI39" s="2130"/>
      <c r="AJ39" s="2133"/>
      <c r="AK39" s="2025"/>
    </row>
    <row r="40" spans="1:42" s="1621" customFormat="1" ht="11.25" hidden="1" customHeight="1">
      <c r="A40" s="1150"/>
      <c r="B40" s="1150"/>
      <c r="C40" s="1150"/>
      <c r="D40" s="1150"/>
      <c r="E40" s="1150"/>
      <c r="F40" s="1150"/>
      <c r="G40" s="1150"/>
      <c r="H40" s="1150"/>
      <c r="I40" s="1150"/>
      <c r="J40" s="1150"/>
      <c r="K40" s="1150"/>
      <c r="L40" s="1144"/>
      <c r="M40" s="1142"/>
      <c r="N40" s="1142"/>
      <c r="O40" s="1142"/>
      <c r="P40" s="1022"/>
      <c r="Q40" s="1023"/>
      <c r="R40" s="1038">
        <v>1</v>
      </c>
      <c r="S40" s="1061" t="s">
        <v>43</v>
      </c>
      <c r="T40" s="1039" t="s">
        <v>44</v>
      </c>
      <c r="U40" s="1021" t="str">
        <f ca="1">OFFSET(U40,0,-1)</f>
        <v>2</v>
      </c>
      <c r="V40" s="1133">
        <f ca="1">OFFSET(V40,0,-1)+1</f>
        <v>3</v>
      </c>
      <c r="W40" s="1133">
        <f ca="1">OFFSET(W40,0,-1)+1</f>
        <v>4</v>
      </c>
      <c r="X40" s="1133">
        <f ca="1">OFFSET(X40,0,-1)+1</f>
        <v>5</v>
      </c>
      <c r="Y40" s="1133">
        <f ca="1">OFFSET(Y40,0,-1)+1</f>
        <v>6</v>
      </c>
      <c r="Z40" s="2122">
        <f ca="1">OFFSET(Z40,0,-1)+1</f>
        <v>7</v>
      </c>
      <c r="AA40" s="2122"/>
      <c r="AB40" s="1133">
        <f ca="1">OFFSET(AB40,0,-2)+1</f>
        <v>8</v>
      </c>
      <c r="AC40" s="1133">
        <f ca="1">OFFSET(AC40,0,-1)+1</f>
        <v>9</v>
      </c>
      <c r="AD40" s="1133">
        <f ca="1">OFFSET(AD40,0,-1)+1</f>
        <v>10</v>
      </c>
      <c r="AE40" s="1133">
        <f ca="1">OFFSET(AE40,0,-1)+1</f>
        <v>11</v>
      </c>
      <c r="AF40" s="1133">
        <f ca="1">OFFSET(AF40,0,-1)+1</f>
        <v>12</v>
      </c>
      <c r="AG40" s="2122">
        <f ca="1">OFFSET(AG40,0,-1)+1</f>
        <v>13</v>
      </c>
      <c r="AH40" s="2122"/>
      <c r="AI40" s="1133">
        <f ca="1">OFFSET(AI40,0,-2)+1</f>
        <v>14</v>
      </c>
      <c r="AJ40" s="1021">
        <f ca="1">OFFSET(AJ40,0,-1)</f>
        <v>14</v>
      </c>
      <c r="AK40" s="1133">
        <f ca="1">OFFSET(AK40,0,-1)+1</f>
        <v>15</v>
      </c>
      <c r="AL40" s="379"/>
      <c r="AM40" s="379"/>
      <c r="AN40" s="379"/>
      <c r="AO40" s="379"/>
      <c r="AP40" s="379"/>
    </row>
    <row r="41" spans="1:42" ht="23.25" customHeight="1">
      <c r="A41" s="1143" t="s">
        <v>150</v>
      </c>
      <c r="B41" s="1143"/>
      <c r="C41" s="1143"/>
      <c r="D41" s="1143"/>
      <c r="E41" s="2111">
        <v>1</v>
      </c>
      <c r="F41" s="1143"/>
      <c r="G41" s="1143"/>
      <c r="H41" s="1143"/>
      <c r="I41" s="1143"/>
      <c r="J41" s="1143"/>
      <c r="K41" s="1143"/>
      <c r="L41" s="1144"/>
      <c r="M41" s="1145"/>
      <c r="N41" s="1145"/>
      <c r="O41" s="1145"/>
      <c r="P41" s="242"/>
      <c r="Q41" s="241"/>
      <c r="R41" s="236"/>
      <c r="S41" s="1138">
        <f>INDEX(PT_DIFFERENTIATION_NUM_NTAR,MATCH(A41,PT_DIFFERENTIATION_NTAR_ID,0))</f>
        <v>0</v>
      </c>
      <c r="T41" s="173" t="s">
        <v>61</v>
      </c>
      <c r="U41" s="175"/>
      <c r="V41" s="2104"/>
      <c r="W41" s="2105"/>
      <c r="X41" s="2105"/>
      <c r="Y41" s="2105"/>
      <c r="Z41" s="2105"/>
      <c r="AA41" s="2105"/>
      <c r="AB41" s="2106"/>
      <c r="AC41" s="2104" t="str">
        <f>INDEX(PT_DIFFERENTIATION_NTAR,MATCH(A41,PT_DIFFERENTIATION_NTAR_ID,0))</f>
        <v/>
      </c>
      <c r="AD41" s="2105"/>
      <c r="AE41" s="2105"/>
      <c r="AF41" s="2105"/>
      <c r="AG41" s="2105"/>
      <c r="AH41" s="2105"/>
      <c r="AI41" s="2105"/>
      <c r="AJ41" s="2106"/>
      <c r="AK41"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68"/>
      <c r="AN41" s="368" t="str">
        <f t="shared" ref="AN41:AN53" si="1">IF(T41="","",T41)</f>
        <v>Наименование тарифа</v>
      </c>
      <c r="AO41" s="368"/>
      <c r="AP41" s="368"/>
    </row>
    <row r="42" spans="1:42" ht="23.25" customHeight="1">
      <c r="A42" s="1143" t="s">
        <v>150</v>
      </c>
      <c r="B42" s="1143" t="s">
        <v>151</v>
      </c>
      <c r="C42" s="1143"/>
      <c r="D42" s="1143"/>
      <c r="E42" s="2112"/>
      <c r="F42" s="2111">
        <v>1</v>
      </c>
      <c r="G42" s="1143"/>
      <c r="H42" s="1143"/>
      <c r="I42" s="1143"/>
      <c r="J42" s="1143"/>
      <c r="K42" s="1143"/>
      <c r="L42" s="1144"/>
      <c r="M42" s="1145"/>
      <c r="N42" s="1145"/>
      <c r="O42" s="1145"/>
      <c r="P42" s="1136"/>
      <c r="Q42" s="233"/>
      <c r="R42" s="234"/>
      <c r="S42" s="1138" t="str">
        <f>INDEX(PT_DIFFERENTIATION_NUM_TER,MATCH(B42,PT_DIFFERENTIATION_TER_ID,0))</f>
        <v>.</v>
      </c>
      <c r="T42" s="185" t="s">
        <v>323</v>
      </c>
      <c r="U42" s="175"/>
      <c r="V42" s="2104"/>
      <c r="W42" s="2105"/>
      <c r="X42" s="2105"/>
      <c r="Y42" s="2105"/>
      <c r="Z42" s="2105"/>
      <c r="AA42" s="2105"/>
      <c r="AB42" s="2106"/>
      <c r="AC42" s="2104" t="str">
        <f>INDEX(PT_DIFFERENTIATION_TER,MATCH(B42,PT_DIFFERENTIATION_TER_ID,0))</f>
        <v/>
      </c>
      <c r="AD42" s="2105"/>
      <c r="AE42" s="2105"/>
      <c r="AF42" s="2105"/>
      <c r="AG42" s="2105"/>
      <c r="AH42" s="2105"/>
      <c r="AI42" s="2105"/>
      <c r="AJ42" s="2106"/>
      <c r="AK42" s="1044" t="s">
        <v>324</v>
      </c>
      <c r="AM42" s="368"/>
      <c r="AN42" s="368" t="str">
        <f t="shared" si="1"/>
        <v>Территория действия тарифа</v>
      </c>
      <c r="AO42" s="368"/>
      <c r="AP42" s="368"/>
    </row>
    <row r="43" spans="1:42" ht="23.25" customHeight="1">
      <c r="A43" s="1143" t="s">
        <v>150</v>
      </c>
      <c r="B43" s="1143" t="s">
        <v>151</v>
      </c>
      <c r="C43" s="1143" t="s">
        <v>152</v>
      </c>
      <c r="D43" s="1143"/>
      <c r="E43" s="2112"/>
      <c r="F43" s="2112"/>
      <c r="G43" s="2111">
        <v>1</v>
      </c>
      <c r="H43" s="1143"/>
      <c r="I43" s="1143"/>
      <c r="J43" s="1143"/>
      <c r="K43" s="1143"/>
      <c r="L43" s="1144"/>
      <c r="M43" s="1145"/>
      <c r="N43" s="1145"/>
      <c r="O43" s="1145"/>
      <c r="P43" s="235"/>
      <c r="Q43" s="233"/>
      <c r="R43" s="234"/>
      <c r="S43" s="1138" t="str">
        <f>INDEX(PT_DIFFERENTIATION_NUM_CS,MATCH(C43,PT_DIFFERENTIATION_CS_ID,0))</f>
        <v>..</v>
      </c>
      <c r="T43" s="186" t="s">
        <v>407</v>
      </c>
      <c r="U43" s="175"/>
      <c r="V43" s="2104"/>
      <c r="W43" s="2105"/>
      <c r="X43" s="2105"/>
      <c r="Y43" s="2105"/>
      <c r="Z43" s="2105"/>
      <c r="AA43" s="2105"/>
      <c r="AB43" s="2106"/>
      <c r="AC43" s="2104" t="str">
        <f>INDEX(PT_DIFFERENTIATION_CS,MATCH(C43,PT_DIFFERENTIATION_CS_ID,0))</f>
        <v/>
      </c>
      <c r="AD43" s="2105"/>
      <c r="AE43" s="2105"/>
      <c r="AF43" s="2105"/>
      <c r="AG43" s="2105"/>
      <c r="AH43" s="2105"/>
      <c r="AI43" s="2105"/>
      <c r="AJ43" s="2106"/>
      <c r="AK43" s="1044" t="s">
        <v>408</v>
      </c>
      <c r="AM43" s="368"/>
      <c r="AN43" s="368" t="str">
        <f t="shared" si="1"/>
        <v>Наименование централизованной системы холодного водоснабжения</v>
      </c>
      <c r="AO43" s="368"/>
      <c r="AP43" s="368"/>
    </row>
    <row r="44" spans="1:42" ht="23.25" customHeight="1">
      <c r="A44" s="1143" t="s">
        <v>150</v>
      </c>
      <c r="B44" s="1143" t="s">
        <v>151</v>
      </c>
      <c r="C44" s="1143" t="s">
        <v>152</v>
      </c>
      <c r="D44" s="1143" t="s">
        <v>421</v>
      </c>
      <c r="E44" s="2112"/>
      <c r="F44" s="2112"/>
      <c r="G44" s="2112"/>
      <c r="H44" s="2112"/>
      <c r="I44" s="2113" t="str">
        <f>S43&amp;".1"</f>
        <v>...1</v>
      </c>
      <c r="J44" s="1143"/>
      <c r="K44" s="1143"/>
      <c r="L44" s="1144"/>
      <c r="P44" s="2115">
        <v>1</v>
      </c>
      <c r="Q44" s="1134"/>
      <c r="R44" s="237"/>
      <c r="S44" s="1138" t="str">
        <f>$I44</f>
        <v>...1</v>
      </c>
      <c r="T44" s="161" t="s">
        <v>409</v>
      </c>
      <c r="U44" s="175"/>
      <c r="V44" s="2171"/>
      <c r="W44" s="2172"/>
      <c r="X44" s="2172"/>
      <c r="Y44" s="2172"/>
      <c r="Z44" s="2172"/>
      <c r="AA44" s="2172"/>
      <c r="AB44" s="2173"/>
      <c r="AC44" s="2174"/>
      <c r="AD44" s="2175"/>
      <c r="AE44" s="2175"/>
      <c r="AF44" s="2175"/>
      <c r="AG44" s="2175"/>
      <c r="AH44" s="2175"/>
      <c r="AI44" s="2175"/>
      <c r="AJ44" s="2176"/>
      <c r="AK44" s="1044" t="s">
        <v>410</v>
      </c>
      <c r="AM44" s="368"/>
      <c r="AN44" s="368" t="str">
        <f t="shared" si="1"/>
        <v>Наименование признака дифференциации</v>
      </c>
      <c r="AO44" s="368"/>
      <c r="AP44" s="368"/>
    </row>
    <row r="45" spans="1:42" ht="23.25" customHeight="1">
      <c r="A45" s="1143" t="s">
        <v>150</v>
      </c>
      <c r="B45" s="1143" t="s">
        <v>151</v>
      </c>
      <c r="C45" s="1143" t="s">
        <v>152</v>
      </c>
      <c r="D45" s="1143" t="s">
        <v>421</v>
      </c>
      <c r="E45" s="2112"/>
      <c r="F45" s="2112"/>
      <c r="G45" s="2112"/>
      <c r="H45" s="2112"/>
      <c r="I45" s="2114"/>
      <c r="J45" s="2113" t="str">
        <f>I44&amp;".1"</f>
        <v>...1.1</v>
      </c>
      <c r="K45" s="1143"/>
      <c r="L45" s="1144" t="s">
        <v>332</v>
      </c>
      <c r="P45" s="2115"/>
      <c r="Q45" s="2115">
        <v>1</v>
      </c>
      <c r="R45" s="238"/>
      <c r="S45" s="1138" t="str">
        <f>$J45</f>
        <v>...1.1</v>
      </c>
      <c r="T45" s="162" t="s">
        <v>333</v>
      </c>
      <c r="U45" s="175"/>
      <c r="V45" s="2098"/>
      <c r="W45" s="2099"/>
      <c r="X45" s="2099"/>
      <c r="Y45" s="2099"/>
      <c r="Z45" s="2099"/>
      <c r="AA45" s="2099"/>
      <c r="AB45" s="2100"/>
      <c r="AC45" s="2098"/>
      <c r="AD45" s="2099"/>
      <c r="AE45" s="2099"/>
      <c r="AF45" s="2099"/>
      <c r="AG45" s="2099"/>
      <c r="AH45" s="2099"/>
      <c r="AI45" s="2099"/>
      <c r="AJ45" s="2100"/>
      <c r="AK45" s="1090" t="s">
        <v>411</v>
      </c>
      <c r="AM45" s="368"/>
      <c r="AN45" s="368" t="str">
        <f t="shared" si="1"/>
        <v>Группа потребителей</v>
      </c>
      <c r="AO45" s="368"/>
      <c r="AP45" s="368"/>
    </row>
    <row r="46" spans="1:42" ht="23.25" customHeight="1">
      <c r="A46" s="1143" t="s">
        <v>150</v>
      </c>
      <c r="B46" s="1143" t="s">
        <v>151</v>
      </c>
      <c r="C46" s="1143" t="s">
        <v>152</v>
      </c>
      <c r="D46" s="1143" t="s">
        <v>421</v>
      </c>
      <c r="E46" s="2112"/>
      <c r="F46" s="2112"/>
      <c r="G46" s="2112"/>
      <c r="H46" s="2112"/>
      <c r="I46" s="2114"/>
      <c r="J46" s="2114"/>
      <c r="K46" s="2113" t="str">
        <f>J45&amp;".1"</f>
        <v>...1.1.1</v>
      </c>
      <c r="L46" s="1144"/>
      <c r="P46" s="2115"/>
      <c r="Q46" s="2115"/>
      <c r="R46" s="238">
        <v>1</v>
      </c>
      <c r="S46" s="1138" t="str">
        <f>$K46</f>
        <v>...1.1.1</v>
      </c>
      <c r="T46" s="1212"/>
      <c r="U46" s="175"/>
      <c r="V46" s="1140"/>
      <c r="W46" s="1140"/>
      <c r="X46" s="1141"/>
      <c r="Y46" s="2108"/>
      <c r="Z46" s="2107" t="s">
        <v>16</v>
      </c>
      <c r="AA46" s="2108"/>
      <c r="AB46" s="2107" t="s">
        <v>16</v>
      </c>
      <c r="AC46" s="576"/>
      <c r="AD46" s="576"/>
      <c r="AE46" s="1043"/>
      <c r="AF46" s="2116"/>
      <c r="AG46" s="2109" t="s">
        <v>16</v>
      </c>
      <c r="AH46" s="2118"/>
      <c r="AI46" s="2109" t="s">
        <v>15</v>
      </c>
      <c r="AJ46" s="1213"/>
      <c r="AK46"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79" t="e">
        <f ca="1">STRCHECKDATE(V47:AJ47)</f>
        <v>#NAME?</v>
      </c>
      <c r="AM46" s="368"/>
      <c r="AN46" s="368" t="str">
        <f t="shared" si="1"/>
        <v/>
      </c>
      <c r="AO46" s="368"/>
      <c r="AP46" s="368"/>
    </row>
    <row r="47" spans="1:42" ht="0" hidden="1" customHeight="1">
      <c r="A47" s="1143" t="s">
        <v>150</v>
      </c>
      <c r="B47" s="1143" t="s">
        <v>151</v>
      </c>
      <c r="C47" s="1143" t="s">
        <v>152</v>
      </c>
      <c r="D47" s="1143" t="s">
        <v>421</v>
      </c>
      <c r="E47" s="2112"/>
      <c r="F47" s="2112"/>
      <c r="G47" s="2112"/>
      <c r="H47" s="2112"/>
      <c r="I47" s="2114"/>
      <c r="J47" s="2114"/>
      <c r="K47" s="2113"/>
      <c r="L47" s="1144"/>
      <c r="P47" s="2115"/>
      <c r="Q47" s="2115"/>
      <c r="R47" s="238"/>
      <c r="S47" s="1139"/>
      <c r="T47" s="175"/>
      <c r="U47" s="175"/>
      <c r="V47" s="1140"/>
      <c r="W47" s="1140"/>
      <c r="X47" s="211" t="str">
        <f>Y46&amp;"-"&amp;AA46</f>
        <v>-</v>
      </c>
      <c r="Y47" s="2107"/>
      <c r="Z47" s="2107"/>
      <c r="AA47" s="2107"/>
      <c r="AB47" s="2107"/>
      <c r="AC47" s="207"/>
      <c r="AD47" s="207"/>
      <c r="AE47" s="211" t="str">
        <f>AF46&amp;"-"&amp;AH46</f>
        <v>-</v>
      </c>
      <c r="AF47" s="2117"/>
      <c r="AG47" s="2109"/>
      <c r="AH47" s="2119"/>
      <c r="AI47" s="2109"/>
      <c r="AJ47" s="1214"/>
      <c r="AK47" s="2177"/>
      <c r="AM47" s="368"/>
      <c r="AN47" s="368" t="str">
        <f t="shared" si="1"/>
        <v/>
      </c>
      <c r="AO47" s="368"/>
      <c r="AP47" s="368"/>
    </row>
    <row r="48" spans="1:42" ht="21" customHeight="1">
      <c r="A48" s="1143" t="s">
        <v>150</v>
      </c>
      <c r="B48" s="1143" t="s">
        <v>151</v>
      </c>
      <c r="C48" s="1143" t="s">
        <v>152</v>
      </c>
      <c r="D48" s="1143" t="s">
        <v>421</v>
      </c>
      <c r="E48" s="2112"/>
      <c r="F48" s="2112"/>
      <c r="G48" s="2112"/>
      <c r="H48" s="2112"/>
      <c r="I48" s="2114"/>
      <c r="J48" s="2113"/>
      <c r="K48" s="1143"/>
      <c r="L48" s="1144"/>
      <c r="P48" s="2115"/>
      <c r="Q48" s="2115"/>
      <c r="R48" s="237"/>
      <c r="S48" s="1062"/>
      <c r="T48" s="163" t="s">
        <v>412</v>
      </c>
      <c r="U48" s="251"/>
      <c r="V48" s="251"/>
      <c r="W48" s="251"/>
      <c r="X48" s="251"/>
      <c r="Y48" s="251"/>
      <c r="Z48" s="251"/>
      <c r="AA48" s="251"/>
      <c r="AB48" s="251"/>
      <c r="AC48" s="251"/>
      <c r="AD48" s="251"/>
      <c r="AE48" s="251"/>
      <c r="AF48" s="251"/>
      <c r="AG48" s="251"/>
      <c r="AH48" s="251"/>
      <c r="AI48" s="251"/>
      <c r="AJ48" s="251"/>
      <c r="AK48" s="1044" t="s">
        <v>413</v>
      </c>
      <c r="AM48" s="368"/>
      <c r="AN48" s="368" t="str">
        <f t="shared" si="1"/>
        <v>Добавить значение признака дифференциации</v>
      </c>
      <c r="AO48" s="368"/>
      <c r="AP48" s="368"/>
    </row>
    <row r="49" spans="1:42" ht="21" customHeight="1">
      <c r="A49" s="1143" t="s">
        <v>150</v>
      </c>
      <c r="B49" s="1143" t="s">
        <v>151</v>
      </c>
      <c r="C49" s="1143" t="s">
        <v>152</v>
      </c>
      <c r="D49" s="1143" t="s">
        <v>421</v>
      </c>
      <c r="E49" s="2112"/>
      <c r="F49" s="2112"/>
      <c r="G49" s="2112"/>
      <c r="H49" s="2112"/>
      <c r="I49" s="2113"/>
      <c r="J49" s="1143"/>
      <c r="K49" s="1143"/>
      <c r="L49" s="1144"/>
      <c r="P49" s="2115"/>
      <c r="Q49" s="1134"/>
      <c r="R49" s="237"/>
      <c r="S49" s="1062"/>
      <c r="T49" s="248" t="s">
        <v>338</v>
      </c>
      <c r="U49" s="251"/>
      <c r="V49" s="251"/>
      <c r="W49" s="251"/>
      <c r="X49" s="251"/>
      <c r="Y49" s="251"/>
      <c r="Z49" s="251"/>
      <c r="AA49" s="251"/>
      <c r="AB49" s="250"/>
      <c r="AC49" s="251"/>
      <c r="AD49" s="251"/>
      <c r="AE49" s="251"/>
      <c r="AF49" s="251"/>
      <c r="AG49" s="251"/>
      <c r="AH49" s="251"/>
      <c r="AI49" s="250"/>
      <c r="AJ49" s="251"/>
      <c r="AK49" s="1215"/>
      <c r="AM49" s="368"/>
      <c r="AN49" s="368" t="str">
        <f t="shared" si="1"/>
        <v>Добавить группу потребителей</v>
      </c>
      <c r="AO49" s="368"/>
      <c r="AP49" s="368"/>
    </row>
    <row r="50" spans="1:42" ht="21" customHeight="1">
      <c r="A50" s="1143" t="s">
        <v>150</v>
      </c>
      <c r="B50" s="1143" t="s">
        <v>151</v>
      </c>
      <c r="C50" s="1143" t="s">
        <v>152</v>
      </c>
      <c r="D50" s="1143" t="s">
        <v>421</v>
      </c>
      <c r="E50" s="2112"/>
      <c r="F50" s="2112"/>
      <c r="G50" s="2112"/>
      <c r="H50" s="2111"/>
      <c r="I50" s="1143"/>
      <c r="J50" s="1143"/>
      <c r="K50" s="1143"/>
      <c r="L50" s="1144"/>
      <c r="M50" s="1145"/>
      <c r="N50" s="1145"/>
      <c r="O50" s="395"/>
      <c r="P50" s="241"/>
      <c r="Q50" s="260"/>
      <c r="R50" s="236"/>
      <c r="S50" s="1062"/>
      <c r="T50" s="256" t="s">
        <v>414</v>
      </c>
      <c r="U50" s="251"/>
      <c r="V50" s="251"/>
      <c r="W50" s="251"/>
      <c r="X50" s="251"/>
      <c r="Y50" s="251"/>
      <c r="Z50" s="251"/>
      <c r="AA50" s="251"/>
      <c r="AB50" s="250"/>
      <c r="AC50" s="251"/>
      <c r="AD50" s="251"/>
      <c r="AE50" s="251"/>
      <c r="AF50" s="251"/>
      <c r="AG50" s="251"/>
      <c r="AH50" s="251"/>
      <c r="AI50" s="250"/>
      <c r="AJ50" s="251"/>
      <c r="AK50" s="178"/>
      <c r="AM50" s="368"/>
      <c r="AN50" s="368" t="str">
        <f t="shared" si="1"/>
        <v>Добавить наименование признака дифференциации</v>
      </c>
      <c r="AO50" s="368"/>
      <c r="AP50" s="368"/>
    </row>
    <row r="51" spans="1:42" s="1686" customFormat="1" ht="0" hidden="1" customHeight="1">
      <c r="A51" s="1124" t="s">
        <v>150</v>
      </c>
      <c r="B51" s="1124" t="s">
        <v>151</v>
      </c>
      <c r="C51" s="1096"/>
      <c r="D51" s="1096"/>
      <c r="E51" s="2112"/>
      <c r="F51" s="2111"/>
      <c r="G51" s="1096"/>
      <c r="H51" s="1096"/>
      <c r="I51" s="1096"/>
      <c r="J51" s="1096"/>
      <c r="K51" s="1096"/>
      <c r="L51" s="1201"/>
      <c r="M51" s="1103"/>
      <c r="N51" s="1103"/>
      <c r="P51" s="1098"/>
      <c r="Q51" s="1099"/>
      <c r="R51" s="1098"/>
      <c r="S51" s="1104"/>
      <c r="T51" s="1107" t="s">
        <v>341</v>
      </c>
      <c r="U51" s="1106"/>
      <c r="V51" s="1106"/>
      <c r="W51" s="1106"/>
      <c r="X51" s="1106"/>
      <c r="Y51" s="1106"/>
      <c r="Z51" s="1106"/>
      <c r="AA51" s="1106"/>
      <c r="AB51" s="1106"/>
      <c r="AC51" s="1106"/>
      <c r="AD51" s="1106"/>
      <c r="AE51" s="1106"/>
      <c r="AF51" s="1106"/>
      <c r="AG51" s="1106"/>
      <c r="AH51" s="1106"/>
      <c r="AI51" s="1106"/>
      <c r="AJ51" s="1106"/>
      <c r="AK51" s="1106"/>
      <c r="AM51" s="598"/>
      <c r="AN51" s="598" t="str">
        <f t="shared" si="1"/>
        <v>Добавить централизованную систему для дифференциации</v>
      </c>
      <c r="AO51" s="598"/>
      <c r="AP51" s="598"/>
    </row>
    <row r="52" spans="1:42" s="1622" customFormat="1" ht="0" hidden="1" customHeight="1">
      <c r="A52" s="1124" t="s">
        <v>150</v>
      </c>
      <c r="B52" s="1124"/>
      <c r="C52" s="1124"/>
      <c r="D52" s="1124"/>
      <c r="E52" s="2111"/>
      <c r="F52" s="1124"/>
      <c r="G52" s="1124"/>
      <c r="H52" s="1124"/>
      <c r="I52" s="1124"/>
      <c r="J52" s="1124"/>
      <c r="K52" s="1124"/>
      <c r="L52" s="1127"/>
      <c r="M52" s="1103"/>
      <c r="N52" s="1103"/>
      <c r="O52" s="386"/>
      <c r="P52" s="269"/>
      <c r="Q52" s="1125"/>
      <c r="R52" s="269"/>
      <c r="S52" s="1104"/>
      <c r="T52" s="1107" t="s">
        <v>342</v>
      </c>
      <c r="U52" s="1106"/>
      <c r="V52" s="1106"/>
      <c r="W52" s="1106"/>
      <c r="X52" s="1106"/>
      <c r="Y52" s="1106"/>
      <c r="Z52" s="1106"/>
      <c r="AA52" s="1106"/>
      <c r="AB52" s="1106"/>
      <c r="AC52" s="1106"/>
      <c r="AD52" s="1106"/>
      <c r="AE52" s="1106"/>
      <c r="AF52" s="1106"/>
      <c r="AG52" s="1106"/>
      <c r="AH52" s="1106"/>
      <c r="AI52" s="1106"/>
      <c r="AJ52" s="1106"/>
      <c r="AK52" s="1106"/>
      <c r="AM52" s="368"/>
      <c r="AN52" s="368" t="str">
        <f t="shared" si="1"/>
        <v>Добавить территорию для дифференциации</v>
      </c>
      <c r="AO52" s="368"/>
      <c r="AP52" s="368"/>
    </row>
    <row r="53" spans="1:42" s="1686" customFormat="1" ht="0" hidden="1" customHeight="1">
      <c r="A53" s="1096"/>
      <c r="B53" s="1096"/>
      <c r="C53" s="1096"/>
      <c r="D53" s="1096"/>
      <c r="E53" s="1124"/>
      <c r="F53" s="1096"/>
      <c r="G53" s="1096"/>
      <c r="H53" s="1096"/>
      <c r="I53" s="1096"/>
      <c r="J53" s="1096"/>
      <c r="K53" s="1096"/>
      <c r="L53" s="1201"/>
      <c r="M53" s="1103"/>
      <c r="N53" s="1103"/>
      <c r="P53" s="1098"/>
      <c r="Q53" s="1099"/>
      <c r="R53" s="1098"/>
      <c r="S53" s="1104"/>
      <c r="T53" s="1107" t="s">
        <v>374</v>
      </c>
      <c r="U53" s="1106"/>
      <c r="V53" s="1106"/>
      <c r="W53" s="1106"/>
      <c r="X53" s="1106"/>
      <c r="Y53" s="1106"/>
      <c r="Z53" s="1106"/>
      <c r="AA53" s="1106"/>
      <c r="AB53" s="1106"/>
      <c r="AC53" s="1106"/>
      <c r="AD53" s="1106"/>
      <c r="AE53" s="1106"/>
      <c r="AF53" s="1106"/>
      <c r="AG53" s="1106"/>
      <c r="AH53" s="1106"/>
      <c r="AI53" s="1106"/>
      <c r="AJ53" s="1106"/>
      <c r="AK53" s="1106"/>
      <c r="AM53" s="598"/>
      <c r="AN53" s="598" t="str">
        <f t="shared" si="1"/>
        <v>Добавить наименование тарифа</v>
      </c>
      <c r="AO53" s="598"/>
      <c r="AP53" s="598"/>
    </row>
    <row r="54" spans="1:42" ht="11.25" customHeight="1">
      <c r="M54" s="929"/>
      <c r="N54" s="929"/>
      <c r="O54" s="395"/>
      <c r="P54" s="924"/>
      <c r="Q54" s="924"/>
      <c r="R54" s="924"/>
      <c r="S54" s="924"/>
      <c r="AL54" s="924"/>
      <c r="AM54" s="924"/>
      <c r="AN54" s="924"/>
      <c r="AO54" s="924"/>
      <c r="AP54" s="924"/>
    </row>
    <row r="55" spans="1:42" ht="14.25" customHeight="1">
      <c r="O55" s="395"/>
      <c r="S55" s="1031"/>
      <c r="T55" s="2110"/>
      <c r="U55" s="2110"/>
      <c r="V55" s="2110"/>
      <c r="W55" s="2110"/>
      <c r="X55" s="2110"/>
      <c r="Y55" s="2110"/>
      <c r="Z55" s="2110"/>
      <c r="AA55" s="2110"/>
      <c r="AB55" s="2110"/>
      <c r="AC55" s="2110"/>
      <c r="AD55" s="2110"/>
      <c r="AE55" s="2110"/>
      <c r="AF55" s="2110"/>
      <c r="AG55" s="2110"/>
      <c r="AH55" s="2110"/>
      <c r="AI55" s="2110"/>
      <c r="AJ55" s="2110"/>
      <c r="AK55" s="2110"/>
    </row>
    <row r="56" spans="1:42" ht="14.25" customHeight="1">
      <c r="O56" s="395"/>
    </row>
    <row r="57" spans="1:42" ht="14.25" customHeight="1">
      <c r="O57" s="395"/>
      <c r="S57" s="1031"/>
      <c r="T57" s="2110"/>
      <c r="U57" s="2110"/>
      <c r="V57" s="2110"/>
      <c r="W57" s="2110"/>
      <c r="X57" s="2110"/>
      <c r="Y57" s="2110"/>
      <c r="Z57" s="2110"/>
      <c r="AA57" s="2110"/>
      <c r="AB57" s="2110"/>
      <c r="AC57" s="2110"/>
      <c r="AD57" s="2110"/>
      <c r="AE57" s="2110"/>
      <c r="AF57" s="2110"/>
      <c r="AG57" s="2110"/>
      <c r="AH57" s="2110"/>
      <c r="AI57" s="2110"/>
      <c r="AJ57" s="2110"/>
      <c r="AK57" s="2110"/>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687" hidden="1"/>
    <col min="2" max="2" width="11" style="1687" hidden="1" customWidth="1"/>
    <col min="3" max="3" width="10.5703125" style="1687" hidden="1"/>
    <col min="4" max="4" width="11.85546875" style="1687" hidden="1" customWidth="1"/>
    <col min="5" max="5" width="10" style="1687" hidden="1" customWidth="1"/>
    <col min="6" max="6" width="8.7109375" style="1687" hidden="1" customWidth="1"/>
    <col min="7" max="7" width="7.5703125" style="1687" hidden="1" customWidth="1"/>
    <col min="8" max="8" width="11.42578125" style="1687" hidden="1" customWidth="1"/>
    <col min="9" max="9" width="14.140625" style="1687" hidden="1" customWidth="1"/>
    <col min="10" max="10" width="9.85546875" style="1687" hidden="1" customWidth="1"/>
    <col min="11" max="11" width="14.7109375" style="1687" hidden="1" customWidth="1"/>
    <col min="12" max="12" width="19.140625" style="1703" hidden="1" customWidth="1"/>
    <col min="13" max="14" width="12.28515625" style="1689" hidden="1" customWidth="1"/>
    <col min="15" max="15" width="23.42578125" style="1689" hidden="1" customWidth="1"/>
    <col min="16" max="16" width="3.7109375" style="1704" customWidth="1"/>
    <col min="17" max="18" width="3.7109375" style="1695" customWidth="1"/>
    <col min="19" max="19" width="12.7109375" style="1696" customWidth="1"/>
    <col min="20" max="20" width="35.7109375" style="1661" customWidth="1"/>
    <col min="21" max="21" width="0.140625" style="1661" customWidth="1"/>
    <col min="22" max="24" width="24.7109375" style="1661" hidden="1" customWidth="1"/>
    <col min="25" max="25" width="11.7109375" style="1661" hidden="1" customWidth="1"/>
    <col min="26" max="26" width="3.7109375" style="1661" hidden="1" customWidth="1"/>
    <col min="27" max="27" width="11.7109375" style="1661" hidden="1" customWidth="1"/>
    <col min="28" max="28" width="8.5703125" style="1661" hidden="1" customWidth="1"/>
    <col min="29" max="31" width="24.7109375" style="1661" customWidth="1"/>
    <col min="32" max="32" width="11.7109375" style="1661" customWidth="1"/>
    <col min="33" max="33" width="3.7109375" style="1661" customWidth="1"/>
    <col min="34" max="34" width="11.7109375" style="1661" customWidth="1"/>
    <col min="35" max="35" width="8.5703125" style="1661" hidden="1" customWidth="1"/>
    <col min="36" max="36" width="4.7109375" style="1661" customWidth="1"/>
    <col min="37" max="37" width="115.7109375" style="1661" customWidth="1"/>
    <col min="38" max="39" width="10.5703125" style="1622"/>
    <col min="40" max="40" width="11.140625" style="1622" customWidth="1"/>
    <col min="41" max="42" width="10.5703125" style="1622"/>
  </cols>
  <sheetData>
    <row r="1" spans="1:42" ht="14.25" hidden="1" customHeight="1">
      <c r="X1" s="210"/>
      <c r="Y1" s="210"/>
      <c r="AE1" s="210"/>
      <c r="AF1" s="210"/>
    </row>
    <row r="2" spans="1:42" ht="23.25" hidden="1" customHeight="1">
      <c r="A2" s="1143"/>
      <c r="B2" s="1143"/>
      <c r="C2" s="1143"/>
      <c r="D2" s="1143"/>
      <c r="E2" s="2111">
        <v>1</v>
      </c>
      <c r="F2" s="1143"/>
      <c r="G2" s="1143"/>
      <c r="H2" s="1143"/>
      <c r="I2" s="1143"/>
      <c r="J2" s="1143"/>
      <c r="K2" s="1143"/>
      <c r="L2" s="1144"/>
      <c r="M2" s="1145"/>
      <c r="N2" s="1145"/>
      <c r="O2" s="1145"/>
      <c r="P2" s="242"/>
      <c r="Q2" s="241"/>
      <c r="R2" s="236"/>
      <c r="S2" s="1230" t="e">
        <f>INDEX(PT_DIFFERENTIATION_NUM_NTAR,MATCH(A2,PT_DIFFERENTIATION_NTAR_ID,0))</f>
        <v>#N/A</v>
      </c>
      <c r="T2" s="173" t="s">
        <v>61</v>
      </c>
      <c r="U2" s="175"/>
      <c r="V2" s="2104"/>
      <c r="W2" s="2105"/>
      <c r="X2" s="2105"/>
      <c r="Y2" s="2105"/>
      <c r="Z2" s="2105"/>
      <c r="AA2" s="2105"/>
      <c r="AB2" s="2106"/>
      <c r="AC2" s="2104" t="e">
        <f>INDEX(PT_DIFFERENTIATION_NTAR,MATCH(A2,PT_DIFFERENTIATION_NTAR_ID,0))</f>
        <v>#N/A</v>
      </c>
      <c r="AD2" s="2105"/>
      <c r="AE2" s="2105"/>
      <c r="AF2" s="2105"/>
      <c r="AG2" s="2105"/>
      <c r="AH2" s="2105"/>
      <c r="AI2" s="2105"/>
      <c r="AJ2" s="2106"/>
      <c r="AK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68"/>
      <c r="AN2" s="368" t="str">
        <f t="shared" ref="AN2:AN13" si="0">IF(T2="","",T2)</f>
        <v>Наименование тарифа</v>
      </c>
      <c r="AO2" s="368"/>
      <c r="AP2" s="368"/>
    </row>
    <row r="3" spans="1:42" ht="23.25" hidden="1" customHeight="1">
      <c r="A3" s="1143"/>
      <c r="B3" s="1143"/>
      <c r="C3" s="1143"/>
      <c r="D3" s="1143"/>
      <c r="E3" s="2112"/>
      <c r="F3" s="2111">
        <v>1</v>
      </c>
      <c r="G3" s="1143"/>
      <c r="H3" s="1143"/>
      <c r="I3" s="1143"/>
      <c r="J3" s="1143"/>
      <c r="K3" s="1143"/>
      <c r="L3" s="1144"/>
      <c r="M3" s="1145"/>
      <c r="N3" s="1145"/>
      <c r="O3" s="1145"/>
      <c r="P3" s="1226"/>
      <c r="Q3" s="233"/>
      <c r="R3" s="234"/>
      <c r="S3" s="1230" t="e">
        <f>INDEX(PT_DIFFERENTIATION_NUM_TER,MATCH(B3,PT_DIFFERENTIATION_TER_ID,0))</f>
        <v>#N/A</v>
      </c>
      <c r="T3" s="185" t="s">
        <v>323</v>
      </c>
      <c r="U3" s="175"/>
      <c r="V3" s="2104"/>
      <c r="W3" s="2105"/>
      <c r="X3" s="2105"/>
      <c r="Y3" s="2105"/>
      <c r="Z3" s="2105"/>
      <c r="AA3" s="2105"/>
      <c r="AB3" s="2106"/>
      <c r="AC3" s="2104" t="e">
        <f>INDEX(PT_DIFFERENTIATION_TER,MATCH(B3,PT_DIFFERENTIATION_TER_ID,0))</f>
        <v>#N/A</v>
      </c>
      <c r="AD3" s="2105"/>
      <c r="AE3" s="2105"/>
      <c r="AF3" s="2105"/>
      <c r="AG3" s="2105"/>
      <c r="AH3" s="2105"/>
      <c r="AI3" s="2105"/>
      <c r="AJ3" s="2106"/>
      <c r="AK3" s="1044" t="s">
        <v>324</v>
      </c>
      <c r="AM3" s="368"/>
      <c r="AN3" s="368" t="str">
        <f t="shared" si="0"/>
        <v>Территория действия тарифа</v>
      </c>
      <c r="AO3" s="368"/>
      <c r="AP3" s="368"/>
    </row>
    <row r="4" spans="1:42" ht="23.25" hidden="1" customHeight="1">
      <c r="A4" s="1143"/>
      <c r="B4" s="1143"/>
      <c r="C4" s="1143"/>
      <c r="D4" s="1143"/>
      <c r="E4" s="2112"/>
      <c r="F4" s="2112"/>
      <c r="G4" s="2111">
        <v>1</v>
      </c>
      <c r="H4" s="1143"/>
      <c r="I4" s="1143"/>
      <c r="J4" s="1143"/>
      <c r="K4" s="1143"/>
      <c r="L4" s="1144"/>
      <c r="M4" s="1145"/>
      <c r="N4" s="1145"/>
      <c r="O4" s="1145"/>
      <c r="P4" s="235"/>
      <c r="Q4" s="233"/>
      <c r="R4" s="234"/>
      <c r="S4" s="1230" t="e">
        <f>INDEX(PT_DIFFERENTIATION_NUM_CS,MATCH(C4,PT_DIFFERENTIATION_CS_ID,0))</f>
        <v>#N/A</v>
      </c>
      <c r="T4" s="186" t="s">
        <v>407</v>
      </c>
      <c r="U4" s="175"/>
      <c r="V4" s="2104"/>
      <c r="W4" s="2105"/>
      <c r="X4" s="2105"/>
      <c r="Y4" s="2105"/>
      <c r="Z4" s="2105"/>
      <c r="AA4" s="2105"/>
      <c r="AB4" s="2106"/>
      <c r="AC4" s="2104" t="e">
        <f>INDEX(PT_DIFFERENTIATION_CS,MATCH(C4,PT_DIFFERENTIATION_CS_ID,0))</f>
        <v>#N/A</v>
      </c>
      <c r="AD4" s="2105"/>
      <c r="AE4" s="2105"/>
      <c r="AF4" s="2105"/>
      <c r="AG4" s="2105"/>
      <c r="AH4" s="2105"/>
      <c r="AI4" s="2105"/>
      <c r="AJ4" s="2106"/>
      <c r="AK4" s="1044" t="s">
        <v>408</v>
      </c>
      <c r="AM4" s="368"/>
      <c r="AN4" s="368" t="str">
        <f t="shared" si="0"/>
        <v>Наименование централизованной системы холодного водоснабжения</v>
      </c>
      <c r="AO4" s="368"/>
      <c r="AP4" s="368"/>
    </row>
    <row r="5" spans="1:42" ht="23.25" hidden="1" customHeight="1">
      <c r="A5" s="1143"/>
      <c r="B5" s="1143"/>
      <c r="C5" s="1143"/>
      <c r="D5" s="1143"/>
      <c r="E5" s="2112"/>
      <c r="F5" s="2112"/>
      <c r="G5" s="2112"/>
      <c r="H5" s="2112"/>
      <c r="I5" s="2113" t="e">
        <f>S4&amp;".1"</f>
        <v>#N/A</v>
      </c>
      <c r="J5" s="1143"/>
      <c r="K5" s="1143"/>
      <c r="L5" s="1144"/>
      <c r="P5" s="2115">
        <v>1</v>
      </c>
      <c r="Q5" s="1223"/>
      <c r="R5" s="237"/>
      <c r="S5" s="1230" t="e">
        <f>$I5</f>
        <v>#N/A</v>
      </c>
      <c r="T5" s="161" t="s">
        <v>409</v>
      </c>
      <c r="U5" s="175"/>
      <c r="V5" s="2171"/>
      <c r="W5" s="2172"/>
      <c r="X5" s="2172"/>
      <c r="Y5" s="2172"/>
      <c r="Z5" s="2172"/>
      <c r="AA5" s="2172"/>
      <c r="AB5" s="2173"/>
      <c r="AC5" s="2174"/>
      <c r="AD5" s="2175"/>
      <c r="AE5" s="2175"/>
      <c r="AF5" s="2175"/>
      <c r="AG5" s="2175"/>
      <c r="AH5" s="2175"/>
      <c r="AI5" s="2175"/>
      <c r="AJ5" s="2176"/>
      <c r="AK5" s="1044" t="s">
        <v>410</v>
      </c>
      <c r="AM5" s="368"/>
      <c r="AN5" s="368" t="str">
        <f t="shared" si="0"/>
        <v>Наименование признака дифференциации</v>
      </c>
      <c r="AO5" s="368"/>
      <c r="AP5" s="368"/>
    </row>
    <row r="6" spans="1:42" ht="23.25" hidden="1" customHeight="1">
      <c r="A6" s="1143"/>
      <c r="B6" s="1143"/>
      <c r="C6" s="1143"/>
      <c r="D6" s="1143"/>
      <c r="E6" s="2112"/>
      <c r="F6" s="2112"/>
      <c r="G6" s="2112"/>
      <c r="H6" s="2112"/>
      <c r="I6" s="2114"/>
      <c r="J6" s="2113" t="e">
        <f>I5&amp;".1"</f>
        <v>#N/A</v>
      </c>
      <c r="K6" s="1143"/>
      <c r="L6" s="1144" t="s">
        <v>332</v>
      </c>
      <c r="P6" s="2115"/>
      <c r="Q6" s="2115">
        <v>1</v>
      </c>
      <c r="R6" s="238"/>
      <c r="S6" s="1230" t="e">
        <f>$J6</f>
        <v>#N/A</v>
      </c>
      <c r="T6" s="162" t="s">
        <v>333</v>
      </c>
      <c r="U6" s="175"/>
      <c r="V6" s="2098"/>
      <c r="W6" s="2099"/>
      <c r="X6" s="2099"/>
      <c r="Y6" s="2099"/>
      <c r="Z6" s="2099"/>
      <c r="AA6" s="2099"/>
      <c r="AB6" s="2100"/>
      <c r="AC6" s="2098"/>
      <c r="AD6" s="2099"/>
      <c r="AE6" s="2099"/>
      <c r="AF6" s="2099"/>
      <c r="AG6" s="2099"/>
      <c r="AH6" s="2099"/>
      <c r="AI6" s="2099"/>
      <c r="AJ6" s="2100"/>
      <c r="AK6" s="1090" t="s">
        <v>411</v>
      </c>
      <c r="AM6" s="368"/>
      <c r="AN6" s="368" t="str">
        <f t="shared" si="0"/>
        <v>Группа потребителей</v>
      </c>
      <c r="AO6" s="368"/>
      <c r="AP6" s="368"/>
    </row>
    <row r="7" spans="1:42" ht="23.25" hidden="1" customHeight="1">
      <c r="A7" s="1143"/>
      <c r="B7" s="1143"/>
      <c r="C7" s="1143"/>
      <c r="D7" s="1143"/>
      <c r="E7" s="2112"/>
      <c r="F7" s="2112"/>
      <c r="G7" s="2112"/>
      <c r="H7" s="2112"/>
      <c r="I7" s="2114"/>
      <c r="J7" s="2114"/>
      <c r="K7" s="2113" t="e">
        <f>J6&amp;".1"</f>
        <v>#N/A</v>
      </c>
      <c r="L7" s="1144"/>
      <c r="P7" s="2115"/>
      <c r="Q7" s="2115"/>
      <c r="R7" s="238">
        <v>1</v>
      </c>
      <c r="S7" s="1230" t="e">
        <f>$K7</f>
        <v>#N/A</v>
      </c>
      <c r="T7" s="1212"/>
      <c r="U7" s="175"/>
      <c r="V7" s="576"/>
      <c r="W7" s="576"/>
      <c r="X7" s="1043"/>
      <c r="Y7" s="2116"/>
      <c r="Z7" s="2109" t="s">
        <v>16</v>
      </c>
      <c r="AA7" s="2116"/>
      <c r="AB7" s="2109" t="s">
        <v>16</v>
      </c>
      <c r="AC7" s="576"/>
      <c r="AD7" s="576"/>
      <c r="AE7" s="1043"/>
      <c r="AF7" s="2116"/>
      <c r="AG7" s="2109" t="s">
        <v>16</v>
      </c>
      <c r="AH7" s="2118"/>
      <c r="AI7" s="2109" t="s">
        <v>16</v>
      </c>
      <c r="AJ7" s="1213"/>
      <c r="AK7"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79" t="e">
        <f ca="1">STRCHECKDATE(V8:AJ8)</f>
        <v>#NAME?</v>
      </c>
      <c r="AM7" s="368"/>
      <c r="AN7" s="368" t="str">
        <f t="shared" si="0"/>
        <v/>
      </c>
      <c r="AO7" s="368"/>
      <c r="AP7" s="368"/>
    </row>
    <row r="8" spans="1:42" ht="14.25" hidden="1" customHeight="1">
      <c r="A8" s="1143"/>
      <c r="B8" s="1143"/>
      <c r="C8" s="1143"/>
      <c r="D8" s="1143"/>
      <c r="E8" s="2112"/>
      <c r="F8" s="2112"/>
      <c r="G8" s="2112"/>
      <c r="H8" s="2112"/>
      <c r="I8" s="2114"/>
      <c r="J8" s="2114"/>
      <c r="K8" s="2113"/>
      <c r="L8" s="1144"/>
      <c r="P8" s="2115"/>
      <c r="Q8" s="2115"/>
      <c r="R8" s="238"/>
      <c r="S8" s="1229"/>
      <c r="T8" s="175"/>
      <c r="U8" s="175"/>
      <c r="V8" s="207"/>
      <c r="W8" s="207"/>
      <c r="X8" s="211" t="str">
        <f>Y7&amp;"-"&amp;AA7</f>
        <v>-</v>
      </c>
      <c r="Y8" s="2117"/>
      <c r="Z8" s="2109"/>
      <c r="AA8" s="2117"/>
      <c r="AB8" s="2109"/>
      <c r="AC8" s="207"/>
      <c r="AD8" s="207"/>
      <c r="AE8" s="211" t="str">
        <f>AF7&amp;"-"&amp;AH7</f>
        <v>-</v>
      </c>
      <c r="AF8" s="2117"/>
      <c r="AG8" s="2109"/>
      <c r="AH8" s="2119"/>
      <c r="AI8" s="2109"/>
      <c r="AJ8" s="1214"/>
      <c r="AK8" s="2177"/>
      <c r="AM8" s="368"/>
      <c r="AN8" s="368" t="str">
        <f t="shared" si="0"/>
        <v/>
      </c>
      <c r="AO8" s="368"/>
      <c r="AP8" s="368"/>
    </row>
    <row r="9" spans="1:42" ht="21" hidden="1" customHeight="1">
      <c r="A9" s="1143"/>
      <c r="B9" s="1143"/>
      <c r="C9" s="1143"/>
      <c r="D9" s="1143"/>
      <c r="E9" s="2112"/>
      <c r="F9" s="2112"/>
      <c r="G9" s="2112"/>
      <c r="H9" s="2112"/>
      <c r="I9" s="2114"/>
      <c r="J9" s="2113"/>
      <c r="K9" s="1143"/>
      <c r="L9" s="1144"/>
      <c r="P9" s="2115"/>
      <c r="Q9" s="2115"/>
      <c r="R9" s="237"/>
      <c r="S9" s="1062"/>
      <c r="T9" s="163" t="s">
        <v>412</v>
      </c>
      <c r="U9" s="251"/>
      <c r="V9" s="251"/>
      <c r="W9" s="251"/>
      <c r="X9" s="251"/>
      <c r="Y9" s="251"/>
      <c r="Z9" s="251"/>
      <c r="AA9" s="251"/>
      <c r="AB9" s="251"/>
      <c r="AC9" s="251"/>
      <c r="AD9" s="251"/>
      <c r="AE9" s="251"/>
      <c r="AF9" s="251"/>
      <c r="AG9" s="251"/>
      <c r="AH9" s="251"/>
      <c r="AI9" s="251"/>
      <c r="AJ9" s="251"/>
      <c r="AK9" s="1044" t="s">
        <v>413</v>
      </c>
      <c r="AM9" s="368"/>
      <c r="AN9" s="368" t="str">
        <f t="shared" si="0"/>
        <v>Добавить значение признака дифференциации</v>
      </c>
      <c r="AO9" s="368"/>
      <c r="AP9" s="368"/>
    </row>
    <row r="10" spans="1:42" ht="21" hidden="1" customHeight="1">
      <c r="A10" s="1143"/>
      <c r="B10" s="1143"/>
      <c r="C10" s="1143"/>
      <c r="D10" s="1143"/>
      <c r="E10" s="2112"/>
      <c r="F10" s="2112"/>
      <c r="G10" s="2112"/>
      <c r="H10" s="2112"/>
      <c r="I10" s="2113"/>
      <c r="J10" s="1143"/>
      <c r="K10" s="1143"/>
      <c r="L10" s="1144"/>
      <c r="P10" s="2115"/>
      <c r="Q10" s="1223"/>
      <c r="R10" s="237"/>
      <c r="S10" s="1062"/>
      <c r="T10" s="248" t="s">
        <v>338</v>
      </c>
      <c r="U10" s="251"/>
      <c r="V10" s="251"/>
      <c r="W10" s="251"/>
      <c r="X10" s="251"/>
      <c r="Y10" s="251"/>
      <c r="Z10" s="251"/>
      <c r="AA10" s="251"/>
      <c r="AB10" s="250"/>
      <c r="AC10" s="251"/>
      <c r="AD10" s="251"/>
      <c r="AE10" s="251"/>
      <c r="AF10" s="251"/>
      <c r="AG10" s="251"/>
      <c r="AH10" s="251"/>
      <c r="AI10" s="250"/>
      <c r="AJ10" s="251"/>
      <c r="AK10" s="1215"/>
      <c r="AM10" s="368"/>
      <c r="AN10" s="368" t="str">
        <f t="shared" si="0"/>
        <v>Добавить группу потребителей</v>
      </c>
      <c r="AO10" s="368"/>
      <c r="AP10" s="368"/>
    </row>
    <row r="11" spans="1:42" ht="21" hidden="1" customHeight="1">
      <c r="A11" s="1143"/>
      <c r="B11" s="1143"/>
      <c r="C11" s="1143"/>
      <c r="D11" s="1143"/>
      <c r="E11" s="2112"/>
      <c r="F11" s="2112"/>
      <c r="G11" s="2112"/>
      <c r="H11" s="2111"/>
      <c r="I11" s="1143"/>
      <c r="J11" s="1143"/>
      <c r="K11" s="1143"/>
      <c r="L11" s="1144"/>
      <c r="M11" s="1145"/>
      <c r="N11" s="1145"/>
      <c r="O11" s="395"/>
      <c r="P11" s="241"/>
      <c r="Q11" s="260"/>
      <c r="R11" s="236"/>
      <c r="S11" s="1062"/>
      <c r="T11" s="256" t="s">
        <v>414</v>
      </c>
      <c r="U11" s="251"/>
      <c r="V11" s="251"/>
      <c r="W11" s="251"/>
      <c r="X11" s="251"/>
      <c r="Y11" s="251"/>
      <c r="Z11" s="251"/>
      <c r="AA11" s="251"/>
      <c r="AB11" s="250"/>
      <c r="AC11" s="251"/>
      <c r="AD11" s="251"/>
      <c r="AE11" s="251"/>
      <c r="AF11" s="251"/>
      <c r="AG11" s="251"/>
      <c r="AH11" s="251"/>
      <c r="AI11" s="250"/>
      <c r="AJ11" s="251"/>
      <c r="AK11" s="178"/>
      <c r="AM11" s="368"/>
      <c r="AN11" s="368" t="str">
        <f t="shared" si="0"/>
        <v>Добавить наименование признака дифференциации</v>
      </c>
      <c r="AO11" s="368"/>
      <c r="AP11" s="368"/>
    </row>
    <row r="12" spans="1:42" s="1686" customFormat="1" ht="14.25" hidden="1" customHeight="1">
      <c r="A12" s="1124"/>
      <c r="B12" s="1124"/>
      <c r="C12" s="1096"/>
      <c r="D12" s="1096"/>
      <c r="E12" s="2112"/>
      <c r="F12" s="2111"/>
      <c r="G12" s="1096"/>
      <c r="H12" s="1096"/>
      <c r="I12" s="1096"/>
      <c r="J12" s="1096"/>
      <c r="K12" s="1096"/>
      <c r="L12" s="1231"/>
      <c r="M12" s="1103"/>
      <c r="N12" s="1103"/>
      <c r="P12" s="1098"/>
      <c r="Q12" s="1099"/>
      <c r="R12" s="1098"/>
      <c r="S12" s="1104"/>
      <c r="T12" s="1107" t="s">
        <v>341</v>
      </c>
      <c r="U12" s="1106"/>
      <c r="V12" s="1106"/>
      <c r="W12" s="1106"/>
      <c r="X12" s="1106"/>
      <c r="Y12" s="1106"/>
      <c r="Z12" s="1106"/>
      <c r="AA12" s="1106"/>
      <c r="AB12" s="1106"/>
      <c r="AC12" s="1106"/>
      <c r="AD12" s="1106"/>
      <c r="AE12" s="1106"/>
      <c r="AF12" s="1106"/>
      <c r="AG12" s="1106"/>
      <c r="AH12" s="1106"/>
      <c r="AI12" s="1106"/>
      <c r="AJ12" s="1106"/>
      <c r="AK12" s="1106"/>
      <c r="AM12" s="598"/>
      <c r="AN12" s="598" t="str">
        <f t="shared" si="0"/>
        <v>Добавить централизованную систему для дифференциации</v>
      </c>
      <c r="AO12" s="598"/>
      <c r="AP12" s="598"/>
    </row>
    <row r="13" spans="1:42" s="1622" customFormat="1" ht="14.25" hidden="1" customHeight="1">
      <c r="A13" s="1124"/>
      <c r="B13" s="1124"/>
      <c r="C13" s="1124"/>
      <c r="D13" s="1124"/>
      <c r="E13" s="2111"/>
      <c r="F13" s="1124"/>
      <c r="G13" s="1124"/>
      <c r="H13" s="1124"/>
      <c r="I13" s="1124"/>
      <c r="J13" s="1124"/>
      <c r="K13" s="1124"/>
      <c r="L13" s="1127"/>
      <c r="M13" s="1103"/>
      <c r="N13" s="1103"/>
      <c r="O13" s="386"/>
      <c r="P13" s="269"/>
      <c r="Q13" s="1125"/>
      <c r="R13" s="269"/>
      <c r="S13" s="1104"/>
      <c r="T13" s="1107" t="s">
        <v>342</v>
      </c>
      <c r="U13" s="1106"/>
      <c r="V13" s="1106"/>
      <c r="W13" s="1106"/>
      <c r="X13" s="1106"/>
      <c r="Y13" s="1106"/>
      <c r="Z13" s="1106"/>
      <c r="AA13" s="1106"/>
      <c r="AB13" s="1106"/>
      <c r="AC13" s="1106"/>
      <c r="AD13" s="1106"/>
      <c r="AE13" s="1106"/>
      <c r="AF13" s="1106"/>
      <c r="AG13" s="1106"/>
      <c r="AH13" s="1106"/>
      <c r="AI13" s="1106"/>
      <c r="AJ13" s="1106"/>
      <c r="AK13" s="1106"/>
      <c r="AM13" s="368"/>
      <c r="AN13" s="368" t="str">
        <f t="shared" si="0"/>
        <v>Добавить территорию для дифференциации</v>
      </c>
      <c r="AO13" s="368"/>
      <c r="AP13" s="368"/>
    </row>
    <row r="14" spans="1:42" ht="14.25" hidden="1" customHeight="1">
      <c r="AB14" s="210"/>
      <c r="AI14" s="210"/>
    </row>
    <row r="15" spans="1:42" ht="14.25" hidden="1" customHeight="1">
      <c r="AC15" s="1140"/>
      <c r="AD15" s="1140"/>
      <c r="AE15" s="1141"/>
      <c r="AF15" s="2108"/>
      <c r="AG15" s="2107" t="s">
        <v>16</v>
      </c>
      <c r="AH15" s="2108"/>
      <c r="AI15" s="2107" t="s">
        <v>16</v>
      </c>
    </row>
    <row r="16" spans="1:42" ht="14.25" hidden="1" customHeight="1">
      <c r="AC16" s="1140"/>
      <c r="AD16" s="1140"/>
      <c r="AE16" s="211" t="str">
        <f>AF15&amp;"-"&amp;AH15</f>
        <v>-</v>
      </c>
      <c r="AF16" s="2107"/>
      <c r="AG16" s="2107"/>
      <c r="AH16" s="2107"/>
      <c r="AI16" s="2107"/>
    </row>
    <row r="17" spans="1:42" ht="14.25" hidden="1" customHeight="1">
      <c r="AI17" s="210"/>
    </row>
    <row r="18" spans="1:42" s="1687" customFormat="1" ht="22.5" hidden="1" customHeight="1">
      <c r="L18" s="1220"/>
      <c r="M18" s="1142"/>
      <c r="N18" s="1142"/>
      <c r="O18" s="1147" t="s">
        <v>343</v>
      </c>
      <c r="P18" s="1142"/>
      <c r="Q18" s="1151"/>
      <c r="R18" s="1151"/>
      <c r="S18" s="556"/>
      <c r="Y18" s="1147"/>
      <c r="AA18" s="1147"/>
      <c r="AB18" s="1146"/>
      <c r="AF18" s="1147"/>
      <c r="AH18" s="1147"/>
      <c r="AI18" s="1146"/>
      <c r="AL18" s="379"/>
      <c r="AM18" s="379"/>
      <c r="AN18" s="379"/>
      <c r="AO18" s="379"/>
      <c r="AP18" s="379"/>
    </row>
    <row r="19" spans="1:42" s="1687" customFormat="1" ht="14.25" hidden="1" customHeight="1">
      <c r="L19" s="1220"/>
      <c r="M19" s="1142"/>
      <c r="N19" s="1142"/>
      <c r="O19" s="1142"/>
      <c r="P19" s="1142"/>
      <c r="Q19" s="1151"/>
      <c r="R19" s="1151"/>
      <c r="S19" s="556"/>
      <c r="AB19" s="1146"/>
      <c r="AI19" s="1146"/>
      <c r="AL19" s="379"/>
      <c r="AM19" s="379"/>
      <c r="AN19" s="379"/>
      <c r="AO19" s="379"/>
      <c r="AP19" s="379"/>
    </row>
    <row r="20" spans="1:42" s="1687" customFormat="1" ht="12" hidden="1" customHeight="1">
      <c r="L20" s="1220"/>
      <c r="M20" s="1142"/>
      <c r="N20" s="1142"/>
      <c r="O20" s="1144" t="s">
        <v>344</v>
      </c>
      <c r="P20" s="1142"/>
      <c r="Q20" s="1216"/>
      <c r="R20" s="1216"/>
      <c r="S20" s="556"/>
      <c r="T20" s="929" t="s">
        <v>345</v>
      </c>
      <c r="Z20" s="86" t="s">
        <v>346</v>
      </c>
      <c r="AB20" s="86" t="s">
        <v>347</v>
      </c>
      <c r="AC20" s="929" t="s">
        <v>345</v>
      </c>
      <c r="AG20" s="86" t="s">
        <v>348</v>
      </c>
      <c r="AI20" s="86" t="s">
        <v>347</v>
      </c>
    </row>
    <row r="21" spans="1:42" ht="14.25" hidden="1" customHeight="1">
      <c r="O21" s="1144"/>
    </row>
    <row r="22" spans="1:42" ht="14.25" hidden="1" customHeight="1">
      <c r="O22" s="1144"/>
    </row>
    <row r="23" spans="1:42" ht="14.25" customHeight="1">
      <c r="Q23" s="261"/>
      <c r="R23" s="261"/>
      <c r="S23" s="1059"/>
      <c r="T23" s="246"/>
      <c r="U23" s="246"/>
      <c r="V23" s="377"/>
      <c r="W23" s="377"/>
      <c r="X23" s="377"/>
      <c r="Y23" s="377"/>
      <c r="Z23" s="377"/>
      <c r="AA23" s="377"/>
      <c r="AB23" s="377"/>
      <c r="AC23" s="377"/>
      <c r="AD23" s="377"/>
      <c r="AE23" s="377"/>
      <c r="AF23" s="377"/>
      <c r="AG23" s="377"/>
      <c r="AH23" s="377"/>
      <c r="AI23" s="377"/>
    </row>
    <row r="24" spans="1:42" ht="14.25" customHeight="1">
      <c r="Q24" s="261"/>
      <c r="R24" s="261"/>
      <c r="S24" s="208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88"/>
      <c r="U24" s="2088"/>
      <c r="V24" s="2088"/>
      <c r="W24" s="2088"/>
      <c r="X24" s="2088"/>
      <c r="Y24" s="2088"/>
      <c r="Z24" s="2088"/>
      <c r="AA24" s="2088"/>
      <c r="AB24" s="2088"/>
      <c r="AC24" s="2088"/>
      <c r="AD24" s="2088"/>
      <c r="AE24" s="2088"/>
      <c r="AF24" s="2088"/>
      <c r="AG24" s="2088"/>
      <c r="AH24" s="2088"/>
      <c r="AI24" s="1019"/>
    </row>
    <row r="25" spans="1:42" ht="14.25" customHeight="1">
      <c r="Q25" s="261"/>
      <c r="R25" s="261"/>
      <c r="S25" s="2059" t="e">
        <f>IF(org=0,"Не определено",org)</f>
        <v>#REF!</v>
      </c>
      <c r="T25" s="2059"/>
      <c r="U25" s="2059"/>
      <c r="V25" s="2059"/>
      <c r="W25" s="2059"/>
      <c r="X25" s="2059"/>
      <c r="Y25" s="2059"/>
      <c r="Z25" s="2059"/>
      <c r="AA25" s="2059"/>
      <c r="AB25" s="2059"/>
      <c r="AC25" s="2059"/>
      <c r="AD25" s="2059"/>
      <c r="AE25" s="2059"/>
      <c r="AF25" s="2059"/>
      <c r="AG25" s="2059"/>
      <c r="AH25" s="2059"/>
      <c r="AI25" s="1019"/>
    </row>
    <row r="26" spans="1:42" ht="14.25" hidden="1" customHeight="1">
      <c r="Q26" s="261"/>
      <c r="R26" s="261"/>
      <c r="S26" s="1059"/>
      <c r="T26" s="246"/>
      <c r="U26" s="246"/>
      <c r="V26" s="203"/>
      <c r="W26" s="203"/>
      <c r="X26" s="203"/>
      <c r="Y26" s="203"/>
      <c r="Z26" s="203"/>
      <c r="AA26" s="203"/>
      <c r="AB26" s="203"/>
      <c r="AC26" s="203"/>
      <c r="AD26" s="203"/>
      <c r="AE26" s="203"/>
      <c r="AF26" s="203"/>
      <c r="AG26" s="203"/>
      <c r="AH26" s="203"/>
      <c r="AI26" s="203"/>
      <c r="AJ26" s="377"/>
    </row>
    <row r="27" spans="1:42" s="1692" customFormat="1" ht="25.5" hidden="1" customHeight="1">
      <c r="A27" s="1148"/>
      <c r="B27" s="1148"/>
      <c r="C27" s="1148"/>
      <c r="D27" s="1148"/>
      <c r="E27" s="1148"/>
      <c r="F27" s="1148"/>
      <c r="G27" s="1148"/>
      <c r="H27" s="1148"/>
      <c r="I27" s="1148"/>
      <c r="J27" s="1148"/>
      <c r="K27" s="1148"/>
      <c r="L27" s="1149"/>
      <c r="M27" s="1148"/>
      <c r="N27" s="1148"/>
      <c r="O27" s="1148"/>
      <c r="S27" s="2101" t="s">
        <v>6</v>
      </c>
      <c r="T27" s="2101"/>
      <c r="U27" s="1152"/>
      <c r="V27" s="2103" t="e">
        <f>IF(TITLE_NAME_OR_PR_CHANGE="",IF(TITLE_NAME_OR_PR="","",TITLE_NAME_OR_PR),TITLE_NAME_OR_PR_CHANGE)</f>
        <v>#REF!</v>
      </c>
      <c r="W27" s="2103"/>
      <c r="X27" s="2103"/>
      <c r="Y27" s="2103"/>
      <c r="Z27" s="2103"/>
      <c r="AA27" s="2103"/>
      <c r="AB27" s="209"/>
      <c r="AC27" s="2103" t="e">
        <f>IF(TITLE_NAME_OR_PR_CHANGE="",IF(TITLE_NAME_OR_PR="","",TITLE_NAME_OR_PR),TITLE_NAME_OR_PR_CHANGE)</f>
        <v>#REF!</v>
      </c>
      <c r="AD27" s="2103"/>
      <c r="AE27" s="2103"/>
      <c r="AF27" s="2103"/>
      <c r="AG27" s="2103"/>
      <c r="AH27" s="2103"/>
      <c r="AI27" s="209"/>
      <c r="AJ27" s="209"/>
      <c r="AK27" s="157"/>
      <c r="AL27" s="252"/>
      <c r="AM27" s="252"/>
      <c r="AN27" s="252"/>
      <c r="AO27" s="252"/>
      <c r="AP27" s="252"/>
    </row>
    <row r="28" spans="1:42" s="1692" customFormat="1" ht="18.75" hidden="1" customHeight="1">
      <c r="A28" s="1148"/>
      <c r="B28" s="1148"/>
      <c r="C28" s="1148"/>
      <c r="D28" s="1148"/>
      <c r="E28" s="1148"/>
      <c r="F28" s="1148"/>
      <c r="G28" s="1148"/>
      <c r="H28" s="1148"/>
      <c r="I28" s="1148"/>
      <c r="J28" s="1148"/>
      <c r="K28" s="1148"/>
      <c r="L28" s="1149"/>
      <c r="M28" s="1148"/>
      <c r="N28" s="1148"/>
      <c r="O28" s="1148"/>
      <c r="S28" s="2101" t="s">
        <v>349</v>
      </c>
      <c r="T28" s="2101"/>
      <c r="U28" s="1152"/>
      <c r="V28" s="2102" t="e">
        <f>IF(TITLE_DATE_PR_CHANGE="",IF(TITLE_DATE_PR="","",TITLE_DATE_PR),TITLE_DATE_PR_CHANGE)</f>
        <v>#REF!</v>
      </c>
      <c r="W28" s="2102"/>
      <c r="X28" s="2102"/>
      <c r="Y28" s="2102"/>
      <c r="Z28" s="2102"/>
      <c r="AA28" s="2102"/>
      <c r="AB28" s="209"/>
      <c r="AC28" s="2102" t="e">
        <f>IF(TITLE_DATE_PR_CHANGE="",IF(TITLE_DATE_PR="","",TITLE_DATE_PR),TITLE_DATE_PR_CHANGE)</f>
        <v>#REF!</v>
      </c>
      <c r="AD28" s="2102"/>
      <c r="AE28" s="2102"/>
      <c r="AF28" s="2102"/>
      <c r="AG28" s="2102"/>
      <c r="AH28" s="2102"/>
      <c r="AI28" s="209"/>
      <c r="AJ28" s="209"/>
      <c r="AK28" s="157"/>
      <c r="AL28" s="252"/>
      <c r="AM28" s="252"/>
      <c r="AN28" s="252"/>
      <c r="AO28" s="252"/>
      <c r="AP28" s="252"/>
    </row>
    <row r="29" spans="1:42" s="1692" customFormat="1" ht="18.75" hidden="1" customHeight="1">
      <c r="A29" s="1148"/>
      <c r="B29" s="1148"/>
      <c r="C29" s="1148"/>
      <c r="D29" s="1148"/>
      <c r="E29" s="1148"/>
      <c r="F29" s="1148"/>
      <c r="G29" s="1148"/>
      <c r="H29" s="1148"/>
      <c r="I29" s="1148"/>
      <c r="J29" s="1148"/>
      <c r="K29" s="1148"/>
      <c r="L29" s="1149"/>
      <c r="M29" s="1148"/>
      <c r="N29" s="1148"/>
      <c r="O29" s="1148"/>
      <c r="S29" s="2101" t="s">
        <v>350</v>
      </c>
      <c r="T29" s="2101"/>
      <c r="U29" s="1152"/>
      <c r="V29" s="2103" t="e">
        <f>IF(TITLE_NUMBER_PR_CHANGE="",IF(TITLE_NUMBER_PR="","",TITLE_NUMBER_PR),TITLE_NUMBER_PR_CHANGE)</f>
        <v>#REF!</v>
      </c>
      <c r="W29" s="2103"/>
      <c r="X29" s="2103"/>
      <c r="Y29" s="2103"/>
      <c r="Z29" s="2103"/>
      <c r="AA29" s="2103"/>
      <c r="AB29" s="209"/>
      <c r="AC29" s="2103" t="e">
        <f>IF(TITLE_NUMBER_PR_CHANGE="",IF(TITLE_NUMBER_PR="","",TITLE_NUMBER_PR),TITLE_NUMBER_PR_CHANGE)</f>
        <v>#REF!</v>
      </c>
      <c r="AD29" s="2103"/>
      <c r="AE29" s="2103"/>
      <c r="AF29" s="2103"/>
      <c r="AG29" s="2103"/>
      <c r="AH29" s="2103"/>
      <c r="AI29" s="209"/>
      <c r="AJ29" s="209"/>
      <c r="AK29" s="157"/>
      <c r="AL29" s="252"/>
      <c r="AM29" s="252"/>
      <c r="AN29" s="252"/>
      <c r="AO29" s="252"/>
      <c r="AP29" s="252"/>
    </row>
    <row r="30" spans="1:42" s="1692" customFormat="1" ht="18.75" hidden="1" customHeight="1">
      <c r="A30" s="1148"/>
      <c r="B30" s="1148"/>
      <c r="C30" s="1148"/>
      <c r="D30" s="1148"/>
      <c r="E30" s="1148"/>
      <c r="F30" s="1148"/>
      <c r="G30" s="1148"/>
      <c r="H30" s="1148"/>
      <c r="I30" s="1148"/>
      <c r="J30" s="1148"/>
      <c r="K30" s="1148"/>
      <c r="L30" s="1149"/>
      <c r="M30" s="1148"/>
      <c r="N30" s="1148"/>
      <c r="O30" s="1148"/>
      <c r="S30" s="2101" t="s">
        <v>7</v>
      </c>
      <c r="T30" s="2101"/>
      <c r="U30" s="1152"/>
      <c r="V30" s="2103" t="e">
        <f>IF(TITLE_IST_PUB_CHANGE="",IF(TITLE_IST_PUB="","",TITLE_IST_PUB),TITLE_IST_PUB_CHANGE)</f>
        <v>#REF!</v>
      </c>
      <c r="W30" s="2103"/>
      <c r="X30" s="2103"/>
      <c r="Y30" s="2103"/>
      <c r="Z30" s="2103"/>
      <c r="AA30" s="2103"/>
      <c r="AB30" s="209"/>
      <c r="AC30" s="2103" t="e">
        <f>IF(TITLE_IST_PUB_CHANGE="",IF(TITLE_IST_PUB="","",TITLE_IST_PUB),TITLE_IST_PUB_CHANGE)</f>
        <v>#REF!</v>
      </c>
      <c r="AD30" s="2103"/>
      <c r="AE30" s="2103"/>
      <c r="AF30" s="2103"/>
      <c r="AG30" s="2103"/>
      <c r="AH30" s="2103"/>
      <c r="AI30" s="209"/>
      <c r="AJ30" s="209"/>
      <c r="AK30" s="157"/>
      <c r="AL30" s="252"/>
      <c r="AM30" s="252"/>
      <c r="AN30" s="252"/>
      <c r="AO30" s="252"/>
      <c r="AP30" s="252"/>
    </row>
    <row r="31" spans="1:42" ht="14.25" hidden="1" customHeight="1">
      <c r="Q31" s="261"/>
      <c r="R31" s="261"/>
      <c r="S31" s="1059"/>
      <c r="T31" s="246"/>
      <c r="U31" s="246"/>
      <c r="V31" s="203"/>
      <c r="W31" s="203"/>
      <c r="X31" s="203"/>
      <c r="Y31" s="203"/>
      <c r="Z31" s="203"/>
      <c r="AA31" s="203"/>
      <c r="AB31" s="203"/>
      <c r="AC31" s="203"/>
      <c r="AD31" s="203"/>
      <c r="AE31" s="203"/>
      <c r="AF31" s="203"/>
      <c r="AG31" s="203"/>
      <c r="AH31" s="203"/>
      <c r="AI31" s="203"/>
      <c r="AJ31" s="377"/>
    </row>
    <row r="32" spans="1:42" s="1692" customFormat="1" ht="18.75" hidden="1" customHeight="1">
      <c r="A32" s="1148"/>
      <c r="B32" s="1148"/>
      <c r="C32" s="1148"/>
      <c r="D32" s="1148"/>
      <c r="E32" s="1148"/>
      <c r="F32" s="1148"/>
      <c r="G32" s="1148"/>
      <c r="H32" s="1148"/>
      <c r="I32" s="1148"/>
      <c r="J32" s="1148"/>
      <c r="K32" s="1148"/>
      <c r="L32" s="1149"/>
      <c r="M32" s="1148"/>
      <c r="N32" s="1148"/>
      <c r="O32" s="1148"/>
      <c r="S32" s="2101" t="s">
        <v>351</v>
      </c>
      <c r="T32" s="2101"/>
      <c r="U32" s="1152"/>
      <c r="V32" s="2102" t="e">
        <f>IF(TITLE_DATE_PR_CHANGE="",IF(TITLE_DATE_PR="","",TITLE_DATE_PR),TITLE_DATE_PR_CHANGE)</f>
        <v>#REF!</v>
      </c>
      <c r="W32" s="2102"/>
      <c r="X32" s="2102"/>
      <c r="Y32" s="2102"/>
      <c r="Z32" s="2102"/>
      <c r="AA32" s="2102"/>
      <c r="AB32" s="209"/>
      <c r="AC32" s="2102" t="e">
        <f>IF(TITLE_DATE_PR_CHANGE="",IF(TITLE_DATE_PR="","",TITLE_DATE_PR),TITLE_DATE_PR_CHANGE)</f>
        <v>#REF!</v>
      </c>
      <c r="AD32" s="2102"/>
      <c r="AE32" s="2102"/>
      <c r="AF32" s="2102"/>
      <c r="AG32" s="2102"/>
      <c r="AH32" s="2102"/>
      <c r="AI32" s="209"/>
      <c r="AJ32" s="209"/>
      <c r="AK32" s="157"/>
      <c r="AL32" s="252"/>
      <c r="AM32" s="252"/>
      <c r="AN32" s="252"/>
      <c r="AO32" s="252"/>
      <c r="AP32" s="252"/>
    </row>
    <row r="33" spans="1:42" s="1692" customFormat="1" ht="18.75" hidden="1" customHeight="1">
      <c r="A33" s="1148"/>
      <c r="B33" s="1148"/>
      <c r="C33" s="1148"/>
      <c r="D33" s="1148"/>
      <c r="E33" s="1148"/>
      <c r="F33" s="1148"/>
      <c r="G33" s="1148"/>
      <c r="H33" s="1148"/>
      <c r="I33" s="1148"/>
      <c r="J33" s="1148"/>
      <c r="K33" s="1148"/>
      <c r="L33" s="1149"/>
      <c r="M33" s="1148"/>
      <c r="N33" s="1148"/>
      <c r="O33" s="1148"/>
      <c r="S33" s="2101" t="s">
        <v>352</v>
      </c>
      <c r="T33" s="2101"/>
      <c r="U33" s="1152"/>
      <c r="V33" s="2103" t="e">
        <f>IF(TITLE_NUMBER_PR_CHANGE="",IF(TITLE_NUMBER_PR="","",TITLE_NUMBER_PR),TITLE_NUMBER_PR_CHANGE)</f>
        <v>#REF!</v>
      </c>
      <c r="W33" s="2103"/>
      <c r="X33" s="2103"/>
      <c r="Y33" s="2103"/>
      <c r="Z33" s="2103"/>
      <c r="AA33" s="2103"/>
      <c r="AB33" s="209"/>
      <c r="AC33" s="2103" t="e">
        <f>IF(TITLE_NUMBER_PR_CHANGE="",IF(TITLE_NUMBER_PR="","",TITLE_NUMBER_PR),TITLE_NUMBER_PR_CHANGE)</f>
        <v>#REF!</v>
      </c>
      <c r="AD33" s="2103"/>
      <c r="AE33" s="2103"/>
      <c r="AF33" s="2103"/>
      <c r="AG33" s="2103"/>
      <c r="AH33" s="2103"/>
      <c r="AI33" s="209"/>
      <c r="AJ33" s="209"/>
      <c r="AK33" s="157"/>
      <c r="AL33" s="252"/>
      <c r="AM33" s="252"/>
      <c r="AN33" s="252"/>
      <c r="AO33" s="252"/>
      <c r="AP33" s="252"/>
    </row>
    <row r="34" spans="1:42" s="1692" customFormat="1" ht="0.75" customHeight="1">
      <c r="A34" s="1148"/>
      <c r="B34" s="1148"/>
      <c r="C34" s="1148"/>
      <c r="D34" s="1148"/>
      <c r="E34" s="1148"/>
      <c r="F34" s="1148"/>
      <c r="G34" s="1148"/>
      <c r="H34" s="1148"/>
      <c r="I34" s="1148"/>
      <c r="J34" s="1148"/>
      <c r="K34" s="1148"/>
      <c r="L34" s="1149"/>
      <c r="M34" s="1148"/>
      <c r="N34" s="1148"/>
      <c r="O34" s="1148"/>
      <c r="S34" s="205"/>
      <c r="T34" s="205"/>
      <c r="U34" s="1227"/>
      <c r="V34" s="209"/>
      <c r="W34" s="209"/>
      <c r="X34" s="209"/>
      <c r="Y34" s="209"/>
      <c r="Z34" s="209"/>
      <c r="AA34" s="209"/>
      <c r="AB34" s="155" t="s">
        <v>353</v>
      </c>
      <c r="AC34" s="209"/>
      <c r="AD34" s="209"/>
      <c r="AE34" s="209"/>
      <c r="AF34" s="209"/>
      <c r="AG34" s="209"/>
      <c r="AH34" s="209"/>
      <c r="AI34" s="155" t="s">
        <v>353</v>
      </c>
      <c r="AL34" s="252"/>
      <c r="AM34" s="252"/>
      <c r="AN34" s="252"/>
      <c r="AO34" s="252"/>
      <c r="AP34" s="252"/>
    </row>
    <row r="35" spans="1:42" ht="14.25" customHeight="1">
      <c r="Q35" s="261"/>
      <c r="R35" s="261"/>
      <c r="S35" s="1059"/>
      <c r="T35" s="246"/>
      <c r="U35" s="1020"/>
      <c r="V35" s="2123"/>
      <c r="W35" s="2123"/>
      <c r="X35" s="2123"/>
      <c r="Y35" s="2123"/>
      <c r="Z35" s="2123"/>
      <c r="AA35" s="2123"/>
      <c r="AB35" s="2123"/>
      <c r="AC35" s="2123"/>
      <c r="AD35" s="2123"/>
      <c r="AE35" s="2123"/>
      <c r="AF35" s="2123"/>
      <c r="AG35" s="2123"/>
      <c r="AH35" s="2123"/>
      <c r="AI35" s="2123"/>
    </row>
    <row r="36" spans="1:42" ht="14.25" customHeight="1">
      <c r="Q36" s="261"/>
      <c r="R36" s="261"/>
      <c r="S36" s="2025" t="s">
        <v>224</v>
      </c>
      <c r="T36" s="2025"/>
      <c r="U36" s="2025"/>
      <c r="V36" s="2025"/>
      <c r="W36" s="2025"/>
      <c r="X36" s="2025"/>
      <c r="Y36" s="2025"/>
      <c r="Z36" s="2025"/>
      <c r="AA36" s="2025"/>
      <c r="AB36" s="2025"/>
      <c r="AC36" s="2025"/>
      <c r="AD36" s="2025"/>
      <c r="AE36" s="2025"/>
      <c r="AF36" s="2025"/>
      <c r="AG36" s="2025"/>
      <c r="AH36" s="2025"/>
      <c r="AI36" s="2025"/>
      <c r="AJ36" s="2025"/>
      <c r="AK36" s="2025" t="s">
        <v>225</v>
      </c>
    </row>
    <row r="37" spans="1:42" ht="14.25" customHeight="1">
      <c r="Q37" s="261"/>
      <c r="R37" s="261"/>
      <c r="S37" s="2124" t="s">
        <v>22</v>
      </c>
      <c r="T37" s="2068" t="s">
        <v>354</v>
      </c>
      <c r="U37" s="176"/>
      <c r="V37" s="2125" t="s">
        <v>355</v>
      </c>
      <c r="W37" s="2126"/>
      <c r="X37" s="2126"/>
      <c r="Y37" s="2126"/>
      <c r="Z37" s="2126"/>
      <c r="AA37" s="2127"/>
      <c r="AB37" s="2128" t="s">
        <v>356</v>
      </c>
      <c r="AC37" s="2125" t="s">
        <v>355</v>
      </c>
      <c r="AD37" s="2126"/>
      <c r="AE37" s="2126"/>
      <c r="AF37" s="2126"/>
      <c r="AG37" s="2126"/>
      <c r="AH37" s="2127"/>
      <c r="AI37" s="2128" t="s">
        <v>357</v>
      </c>
      <c r="AJ37" s="2131" t="s">
        <v>358</v>
      </c>
      <c r="AK37" s="2025"/>
    </row>
    <row r="38" spans="1:42" ht="33.75" customHeight="1">
      <c r="Q38" s="261"/>
      <c r="R38" s="261"/>
      <c r="S38" s="2124"/>
      <c r="T38" s="2068"/>
      <c r="U38" s="814"/>
      <c r="V38" s="1225" t="s">
        <v>415</v>
      </c>
      <c r="W38" s="1956" t="s">
        <v>361</v>
      </c>
      <c r="X38" s="1958"/>
      <c r="Y38" s="1956" t="s">
        <v>362</v>
      </c>
      <c r="Z38" s="1957"/>
      <c r="AA38" s="1958"/>
      <c r="AB38" s="2129"/>
      <c r="AC38" s="1225" t="s">
        <v>415</v>
      </c>
      <c r="AD38" s="1956" t="s">
        <v>361</v>
      </c>
      <c r="AE38" s="1958"/>
      <c r="AF38" s="1956" t="s">
        <v>362</v>
      </c>
      <c r="AG38" s="1957"/>
      <c r="AH38" s="1958"/>
      <c r="AI38" s="2129"/>
      <c r="AJ38" s="2132"/>
      <c r="AK38" s="2025"/>
    </row>
    <row r="39" spans="1:42" ht="33.75" customHeight="1">
      <c r="A39" s="1150"/>
      <c r="B39" s="1150" t="s">
        <v>73</v>
      </c>
      <c r="C39" s="1150" t="s">
        <v>74</v>
      </c>
      <c r="D39" s="1150" t="s">
        <v>75</v>
      </c>
      <c r="E39" s="1144" t="s">
        <v>363</v>
      </c>
      <c r="F39" s="1144" t="s">
        <v>364</v>
      </c>
      <c r="G39" s="1144" t="s">
        <v>365</v>
      </c>
      <c r="H39" s="1144"/>
      <c r="I39" s="1144" t="s">
        <v>416</v>
      </c>
      <c r="J39" s="1144" t="s">
        <v>368</v>
      </c>
      <c r="K39" s="1144" t="s">
        <v>417</v>
      </c>
      <c r="L39" s="1144" t="s">
        <v>344</v>
      </c>
      <c r="Q39" s="261"/>
      <c r="R39" s="261"/>
      <c r="S39" s="2124"/>
      <c r="T39" s="2068"/>
      <c r="U39" s="177"/>
      <c r="V39" s="1225" t="s">
        <v>418</v>
      </c>
      <c r="W39" s="995" t="s">
        <v>419</v>
      </c>
      <c r="X39" s="995" t="s">
        <v>420</v>
      </c>
      <c r="Y39" s="1228" t="s">
        <v>372</v>
      </c>
      <c r="Z39" s="2073" t="s">
        <v>373</v>
      </c>
      <c r="AA39" s="2087"/>
      <c r="AB39" s="2130"/>
      <c r="AC39" s="1225" t="s">
        <v>418</v>
      </c>
      <c r="AD39" s="995" t="s">
        <v>419</v>
      </c>
      <c r="AE39" s="995" t="s">
        <v>420</v>
      </c>
      <c r="AF39" s="1228" t="s">
        <v>372</v>
      </c>
      <c r="AG39" s="2073" t="s">
        <v>373</v>
      </c>
      <c r="AH39" s="2087"/>
      <c r="AI39" s="2130"/>
      <c r="AJ39" s="2133"/>
      <c r="AK39" s="2025"/>
    </row>
    <row r="40" spans="1:42" s="1621" customFormat="1" ht="0" hidden="1" customHeight="1">
      <c r="A40" s="1150"/>
      <c r="B40" s="1150"/>
      <c r="C40" s="1150"/>
      <c r="D40" s="1150"/>
      <c r="E40" s="1150"/>
      <c r="F40" s="1150"/>
      <c r="G40" s="1150"/>
      <c r="H40" s="1150"/>
      <c r="I40" s="1150"/>
      <c r="J40" s="1150"/>
      <c r="K40" s="1150"/>
      <c r="L40" s="1144"/>
      <c r="M40" s="1142"/>
      <c r="N40" s="1142"/>
      <c r="O40" s="1142"/>
      <c r="P40" s="1022"/>
      <c r="Q40" s="1023"/>
      <c r="R40" s="1038">
        <v>1</v>
      </c>
      <c r="S40" s="1061" t="s">
        <v>43</v>
      </c>
      <c r="T40" s="1039" t="s">
        <v>44</v>
      </c>
      <c r="U40" s="1021" t="str">
        <f ca="1">OFFSET(U40,0,-1)</f>
        <v>2</v>
      </c>
      <c r="V40" s="1224">
        <f ca="1">OFFSET(V40,0,-1)+1</f>
        <v>3</v>
      </c>
      <c r="W40" s="1224">
        <f ca="1">OFFSET(W40,0,-1)+1</f>
        <v>4</v>
      </c>
      <c r="X40" s="1224">
        <f ca="1">OFFSET(X40,0,-1)+1</f>
        <v>5</v>
      </c>
      <c r="Y40" s="1224">
        <f ca="1">OFFSET(Y40,0,-1)+1</f>
        <v>6</v>
      </c>
      <c r="Z40" s="2122">
        <f ca="1">OFFSET(Z40,0,-1)+1</f>
        <v>7</v>
      </c>
      <c r="AA40" s="2122"/>
      <c r="AB40" s="1224">
        <f ca="1">OFFSET(AB40,0,-2)+1</f>
        <v>8</v>
      </c>
      <c r="AC40" s="1224">
        <f ca="1">OFFSET(AC40,0,-1)+1</f>
        <v>9</v>
      </c>
      <c r="AD40" s="1224">
        <f ca="1">OFFSET(AD40,0,-1)+1</f>
        <v>10</v>
      </c>
      <c r="AE40" s="1224">
        <f ca="1">OFFSET(AE40,0,-1)+1</f>
        <v>11</v>
      </c>
      <c r="AF40" s="1224">
        <f ca="1">OFFSET(AF40,0,-1)+1</f>
        <v>12</v>
      </c>
      <c r="AG40" s="2122">
        <f ca="1">OFFSET(AG40,0,-1)+1</f>
        <v>13</v>
      </c>
      <c r="AH40" s="2122"/>
      <c r="AI40" s="1224">
        <f ca="1">OFFSET(AI40,0,-2)+1</f>
        <v>14</v>
      </c>
      <c r="AJ40" s="1021">
        <f ca="1">OFFSET(AJ40,0,-1)</f>
        <v>14</v>
      </c>
      <c r="AK40" s="1224">
        <f ca="1">OFFSET(AK40,0,-1)+1</f>
        <v>15</v>
      </c>
      <c r="AL40" s="379"/>
      <c r="AM40" s="379"/>
      <c r="AN40" s="379"/>
      <c r="AO40" s="379"/>
      <c r="AP40" s="379"/>
    </row>
    <row r="41" spans="1:42" ht="23.25" customHeight="1">
      <c r="A41" s="1143" t="s">
        <v>155</v>
      </c>
      <c r="B41" s="1143"/>
      <c r="C41" s="1143"/>
      <c r="D41" s="1143"/>
      <c r="E41" s="2111">
        <v>1</v>
      </c>
      <c r="F41" s="1143"/>
      <c r="G41" s="1143"/>
      <c r="H41" s="1143"/>
      <c r="I41" s="1143"/>
      <c r="J41" s="1143"/>
      <c r="K41" s="1143"/>
      <c r="L41" s="1144"/>
      <c r="M41" s="1145"/>
      <c r="N41" s="1145"/>
      <c r="O41" s="1145"/>
      <c r="P41" s="242"/>
      <c r="Q41" s="241"/>
      <c r="R41" s="236"/>
      <c r="S41" s="1230">
        <f>INDEX(PT_DIFFERENTIATION_NUM_NTAR,MATCH(A41,PT_DIFFERENTIATION_NTAR_ID,0))</f>
        <v>0</v>
      </c>
      <c r="T41" s="173" t="s">
        <v>61</v>
      </c>
      <c r="U41" s="175"/>
      <c r="V41" s="2104"/>
      <c r="W41" s="2105"/>
      <c r="X41" s="2105"/>
      <c r="Y41" s="2105"/>
      <c r="Z41" s="2105"/>
      <c r="AA41" s="2105"/>
      <c r="AB41" s="2106"/>
      <c r="AC41" s="2104" t="str">
        <f>INDEX(PT_DIFFERENTIATION_NTAR,MATCH(A41,PT_DIFFERENTIATION_NTAR_ID,0))</f>
        <v/>
      </c>
      <c r="AD41" s="2105"/>
      <c r="AE41" s="2105"/>
      <c r="AF41" s="2105"/>
      <c r="AG41" s="2105"/>
      <c r="AH41" s="2105"/>
      <c r="AI41" s="2105"/>
      <c r="AJ41" s="2106"/>
      <c r="AK41"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68"/>
      <c r="AN41" s="368" t="str">
        <f t="shared" ref="AN41:AN53" si="1">IF(T41="","",T41)</f>
        <v>Наименование тарифа</v>
      </c>
      <c r="AO41" s="368"/>
      <c r="AP41" s="368"/>
    </row>
    <row r="42" spans="1:42" ht="23.25" customHeight="1">
      <c r="A42" s="1143" t="s">
        <v>155</v>
      </c>
      <c r="B42" s="1143" t="s">
        <v>156</v>
      </c>
      <c r="C42" s="1143"/>
      <c r="D42" s="1143"/>
      <c r="E42" s="2112"/>
      <c r="F42" s="2111">
        <v>1</v>
      </c>
      <c r="G42" s="1143"/>
      <c r="H42" s="1143"/>
      <c r="I42" s="1143"/>
      <c r="J42" s="1143"/>
      <c r="K42" s="1143"/>
      <c r="L42" s="1144"/>
      <c r="M42" s="1145"/>
      <c r="N42" s="1145"/>
      <c r="O42" s="1145"/>
      <c r="P42" s="1226"/>
      <c r="Q42" s="233"/>
      <c r="R42" s="234"/>
      <c r="S42" s="1230" t="str">
        <f>INDEX(PT_DIFFERENTIATION_NUM_TER,MATCH(B42,PT_DIFFERENTIATION_TER_ID,0))</f>
        <v>.</v>
      </c>
      <c r="T42" s="185" t="s">
        <v>323</v>
      </c>
      <c r="U42" s="175"/>
      <c r="V42" s="2104"/>
      <c r="W42" s="2105"/>
      <c r="X42" s="2105"/>
      <c r="Y42" s="2105"/>
      <c r="Z42" s="2105"/>
      <c r="AA42" s="2105"/>
      <c r="AB42" s="2106"/>
      <c r="AC42" s="2104" t="str">
        <f>INDEX(PT_DIFFERENTIATION_TER,MATCH(B42,PT_DIFFERENTIATION_TER_ID,0))</f>
        <v/>
      </c>
      <c r="AD42" s="2105"/>
      <c r="AE42" s="2105"/>
      <c r="AF42" s="2105"/>
      <c r="AG42" s="2105"/>
      <c r="AH42" s="2105"/>
      <c r="AI42" s="2105"/>
      <c r="AJ42" s="2106"/>
      <c r="AK42" s="1044" t="s">
        <v>324</v>
      </c>
      <c r="AM42" s="368"/>
      <c r="AN42" s="368" t="str">
        <f t="shared" si="1"/>
        <v>Территория действия тарифа</v>
      </c>
      <c r="AO42" s="368"/>
      <c r="AP42" s="368"/>
    </row>
    <row r="43" spans="1:42" ht="23.25" customHeight="1">
      <c r="A43" s="1143" t="s">
        <v>155</v>
      </c>
      <c r="B43" s="1143" t="s">
        <v>156</v>
      </c>
      <c r="C43" s="1143" t="s">
        <v>157</v>
      </c>
      <c r="D43" s="1143"/>
      <c r="E43" s="2112"/>
      <c r="F43" s="2112"/>
      <c r="G43" s="2111">
        <v>1</v>
      </c>
      <c r="H43" s="1143"/>
      <c r="I43" s="1143"/>
      <c r="J43" s="1143"/>
      <c r="K43" s="1143"/>
      <c r="L43" s="1144"/>
      <c r="M43" s="1145"/>
      <c r="N43" s="1145"/>
      <c r="O43" s="1145"/>
      <c r="P43" s="235"/>
      <c r="Q43" s="233"/>
      <c r="R43" s="234"/>
      <c r="S43" s="1230" t="str">
        <f>INDEX(PT_DIFFERENTIATION_NUM_CS,MATCH(C43,PT_DIFFERENTIATION_CS_ID,0))</f>
        <v>..</v>
      </c>
      <c r="T43" s="186" t="s">
        <v>407</v>
      </c>
      <c r="U43" s="175"/>
      <c r="V43" s="2104"/>
      <c r="W43" s="2105"/>
      <c r="X43" s="2105"/>
      <c r="Y43" s="2105"/>
      <c r="Z43" s="2105"/>
      <c r="AA43" s="2105"/>
      <c r="AB43" s="2106"/>
      <c r="AC43" s="2104" t="str">
        <f>INDEX(PT_DIFFERENTIATION_CS,MATCH(C43,PT_DIFFERENTIATION_CS_ID,0))</f>
        <v/>
      </c>
      <c r="AD43" s="2105"/>
      <c r="AE43" s="2105"/>
      <c r="AF43" s="2105"/>
      <c r="AG43" s="2105"/>
      <c r="AH43" s="2105"/>
      <c r="AI43" s="2105"/>
      <c r="AJ43" s="2106"/>
      <c r="AK43" s="1044" t="s">
        <v>408</v>
      </c>
      <c r="AM43" s="368"/>
      <c r="AN43" s="368" t="str">
        <f t="shared" si="1"/>
        <v>Наименование централизованной системы холодного водоснабжения</v>
      </c>
      <c r="AO43" s="368"/>
      <c r="AP43" s="368"/>
    </row>
    <row r="44" spans="1:42" ht="23.25" customHeight="1">
      <c r="A44" s="1143" t="s">
        <v>155</v>
      </c>
      <c r="B44" s="1143" t="s">
        <v>156</v>
      </c>
      <c r="C44" s="1143" t="s">
        <v>157</v>
      </c>
      <c r="D44" s="1143" t="s">
        <v>422</v>
      </c>
      <c r="E44" s="2112"/>
      <c r="F44" s="2112"/>
      <c r="G44" s="2112"/>
      <c r="H44" s="2112"/>
      <c r="I44" s="2113" t="str">
        <f>S43&amp;".1"</f>
        <v>...1</v>
      </c>
      <c r="J44" s="1143"/>
      <c r="K44" s="1143"/>
      <c r="L44" s="1144"/>
      <c r="P44" s="2115">
        <v>1</v>
      </c>
      <c r="Q44" s="1223"/>
      <c r="R44" s="237"/>
      <c r="S44" s="1230" t="str">
        <f>$I44</f>
        <v>...1</v>
      </c>
      <c r="T44" s="161" t="s">
        <v>409</v>
      </c>
      <c r="U44" s="175"/>
      <c r="V44" s="2171"/>
      <c r="W44" s="2172"/>
      <c r="X44" s="2172"/>
      <c r="Y44" s="2172"/>
      <c r="Z44" s="2172"/>
      <c r="AA44" s="2172"/>
      <c r="AB44" s="2173"/>
      <c r="AC44" s="2174"/>
      <c r="AD44" s="2175"/>
      <c r="AE44" s="2175"/>
      <c r="AF44" s="2175"/>
      <c r="AG44" s="2175"/>
      <c r="AH44" s="2175"/>
      <c r="AI44" s="2175"/>
      <c r="AJ44" s="2176"/>
      <c r="AK44" s="1044" t="s">
        <v>410</v>
      </c>
      <c r="AM44" s="368"/>
      <c r="AN44" s="368" t="str">
        <f t="shared" si="1"/>
        <v>Наименование признака дифференциации</v>
      </c>
      <c r="AO44" s="368"/>
      <c r="AP44" s="368"/>
    </row>
    <row r="45" spans="1:42" ht="23.25" customHeight="1">
      <c r="A45" s="1143" t="s">
        <v>155</v>
      </c>
      <c r="B45" s="1143" t="s">
        <v>156</v>
      </c>
      <c r="C45" s="1143" t="s">
        <v>157</v>
      </c>
      <c r="D45" s="1143" t="s">
        <v>422</v>
      </c>
      <c r="E45" s="2112"/>
      <c r="F45" s="2112"/>
      <c r="G45" s="2112"/>
      <c r="H45" s="2112"/>
      <c r="I45" s="2114"/>
      <c r="J45" s="2113" t="str">
        <f>I44&amp;".1"</f>
        <v>...1.1</v>
      </c>
      <c r="K45" s="1143"/>
      <c r="L45" s="1144" t="s">
        <v>332</v>
      </c>
      <c r="P45" s="2115"/>
      <c r="Q45" s="2115">
        <v>1</v>
      </c>
      <c r="R45" s="238"/>
      <c r="S45" s="1230" t="str">
        <f>$J45</f>
        <v>...1.1</v>
      </c>
      <c r="T45" s="162" t="s">
        <v>333</v>
      </c>
      <c r="U45" s="175"/>
      <c r="V45" s="2098"/>
      <c r="W45" s="2099"/>
      <c r="X45" s="2099"/>
      <c r="Y45" s="2099"/>
      <c r="Z45" s="2099"/>
      <c r="AA45" s="2099"/>
      <c r="AB45" s="2100"/>
      <c r="AC45" s="2098"/>
      <c r="AD45" s="2099"/>
      <c r="AE45" s="2099"/>
      <c r="AF45" s="2099"/>
      <c r="AG45" s="2099"/>
      <c r="AH45" s="2099"/>
      <c r="AI45" s="2099"/>
      <c r="AJ45" s="2100"/>
      <c r="AK45" s="1090" t="s">
        <v>411</v>
      </c>
      <c r="AM45" s="368"/>
      <c r="AN45" s="368" t="str">
        <f t="shared" si="1"/>
        <v>Группа потребителей</v>
      </c>
      <c r="AO45" s="368"/>
      <c r="AP45" s="368"/>
    </row>
    <row r="46" spans="1:42" ht="23.25" customHeight="1">
      <c r="A46" s="1143" t="s">
        <v>155</v>
      </c>
      <c r="B46" s="1143" t="s">
        <v>156</v>
      </c>
      <c r="C46" s="1143" t="s">
        <v>157</v>
      </c>
      <c r="D46" s="1143" t="s">
        <v>422</v>
      </c>
      <c r="E46" s="2112"/>
      <c r="F46" s="2112"/>
      <c r="G46" s="2112"/>
      <c r="H46" s="2112"/>
      <c r="I46" s="2114"/>
      <c r="J46" s="2114"/>
      <c r="K46" s="2113" t="str">
        <f>J45&amp;".1"</f>
        <v>...1.1.1</v>
      </c>
      <c r="L46" s="1144"/>
      <c r="P46" s="2115"/>
      <c r="Q46" s="2115"/>
      <c r="R46" s="238">
        <v>1</v>
      </c>
      <c r="S46" s="1230" t="str">
        <f>$K46</f>
        <v>...1.1.1</v>
      </c>
      <c r="T46" s="1212"/>
      <c r="U46" s="175"/>
      <c r="V46" s="576"/>
      <c r="W46" s="576"/>
      <c r="X46" s="1043"/>
      <c r="Y46" s="2116"/>
      <c r="Z46" s="2109" t="s">
        <v>16</v>
      </c>
      <c r="AA46" s="2116"/>
      <c r="AB46" s="2109" t="s">
        <v>16</v>
      </c>
      <c r="AC46" s="576"/>
      <c r="AD46" s="576"/>
      <c r="AE46" s="1043"/>
      <c r="AF46" s="2116"/>
      <c r="AG46" s="2109" t="s">
        <v>16</v>
      </c>
      <c r="AH46" s="2118"/>
      <c r="AI46" s="2109" t="s">
        <v>16</v>
      </c>
      <c r="AJ46" s="1213"/>
      <c r="AK46"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79" t="e">
        <f ca="1">STRCHECKDATE(V47:AJ47)</f>
        <v>#NAME?</v>
      </c>
      <c r="AM46" s="368"/>
      <c r="AN46" s="368" t="str">
        <f t="shared" si="1"/>
        <v/>
      </c>
      <c r="AO46" s="368"/>
      <c r="AP46" s="368"/>
    </row>
    <row r="47" spans="1:42" ht="0" hidden="1" customHeight="1">
      <c r="A47" s="1143" t="s">
        <v>155</v>
      </c>
      <c r="B47" s="1143" t="s">
        <v>156</v>
      </c>
      <c r="C47" s="1143" t="s">
        <v>157</v>
      </c>
      <c r="D47" s="1143" t="s">
        <v>422</v>
      </c>
      <c r="E47" s="2112"/>
      <c r="F47" s="2112"/>
      <c r="G47" s="2112"/>
      <c r="H47" s="2112"/>
      <c r="I47" s="2114"/>
      <c r="J47" s="2114"/>
      <c r="K47" s="2113"/>
      <c r="L47" s="1144"/>
      <c r="P47" s="2115"/>
      <c r="Q47" s="2115"/>
      <c r="R47" s="238"/>
      <c r="S47" s="1229"/>
      <c r="T47" s="175"/>
      <c r="U47" s="175"/>
      <c r="V47" s="207"/>
      <c r="W47" s="207"/>
      <c r="X47" s="211" t="str">
        <f>Y46&amp;"-"&amp;AA46</f>
        <v>-</v>
      </c>
      <c r="Y47" s="2117"/>
      <c r="Z47" s="2109"/>
      <c r="AA47" s="2117"/>
      <c r="AB47" s="2109"/>
      <c r="AC47" s="207"/>
      <c r="AD47" s="207"/>
      <c r="AE47" s="211" t="str">
        <f>AF46&amp;"-"&amp;AH46</f>
        <v>-</v>
      </c>
      <c r="AF47" s="2117"/>
      <c r="AG47" s="2109"/>
      <c r="AH47" s="2119"/>
      <c r="AI47" s="2109"/>
      <c r="AJ47" s="1214"/>
      <c r="AK47" s="2177"/>
      <c r="AM47" s="368"/>
      <c r="AN47" s="368" t="str">
        <f t="shared" si="1"/>
        <v/>
      </c>
      <c r="AO47" s="368"/>
      <c r="AP47" s="368"/>
    </row>
    <row r="48" spans="1:42" ht="21" customHeight="1">
      <c r="A48" s="1143" t="s">
        <v>155</v>
      </c>
      <c r="B48" s="1143" t="s">
        <v>156</v>
      </c>
      <c r="C48" s="1143" t="s">
        <v>157</v>
      </c>
      <c r="D48" s="1143" t="s">
        <v>422</v>
      </c>
      <c r="E48" s="2112"/>
      <c r="F48" s="2112"/>
      <c r="G48" s="2112"/>
      <c r="H48" s="2112"/>
      <c r="I48" s="2114"/>
      <c r="J48" s="2113"/>
      <c r="K48" s="1143"/>
      <c r="L48" s="1144"/>
      <c r="P48" s="2115"/>
      <c r="Q48" s="2115"/>
      <c r="R48" s="237"/>
      <c r="S48" s="1062"/>
      <c r="T48" s="163" t="s">
        <v>412</v>
      </c>
      <c r="U48" s="251"/>
      <c r="V48" s="251"/>
      <c r="W48" s="251"/>
      <c r="X48" s="251"/>
      <c r="Y48" s="251"/>
      <c r="Z48" s="251"/>
      <c r="AA48" s="251"/>
      <c r="AB48" s="251"/>
      <c r="AC48" s="251"/>
      <c r="AD48" s="251"/>
      <c r="AE48" s="251"/>
      <c r="AF48" s="251"/>
      <c r="AG48" s="251"/>
      <c r="AH48" s="251"/>
      <c r="AI48" s="251"/>
      <c r="AJ48" s="251"/>
      <c r="AK48" s="1044" t="s">
        <v>413</v>
      </c>
      <c r="AM48" s="368"/>
      <c r="AN48" s="368" t="str">
        <f t="shared" si="1"/>
        <v>Добавить значение признака дифференциации</v>
      </c>
      <c r="AO48" s="368"/>
      <c r="AP48" s="368"/>
    </row>
    <row r="49" spans="1:42" ht="21" customHeight="1">
      <c r="A49" s="1143" t="s">
        <v>155</v>
      </c>
      <c r="B49" s="1143" t="s">
        <v>156</v>
      </c>
      <c r="C49" s="1143" t="s">
        <v>157</v>
      </c>
      <c r="D49" s="1143" t="s">
        <v>422</v>
      </c>
      <c r="E49" s="2112"/>
      <c r="F49" s="2112"/>
      <c r="G49" s="2112"/>
      <c r="H49" s="2112"/>
      <c r="I49" s="2113"/>
      <c r="J49" s="1143"/>
      <c r="K49" s="1143"/>
      <c r="L49" s="1144"/>
      <c r="P49" s="2115"/>
      <c r="Q49" s="1223"/>
      <c r="R49" s="237"/>
      <c r="S49" s="1062"/>
      <c r="T49" s="248" t="s">
        <v>338</v>
      </c>
      <c r="U49" s="251"/>
      <c r="V49" s="251"/>
      <c r="W49" s="251"/>
      <c r="X49" s="251"/>
      <c r="Y49" s="251"/>
      <c r="Z49" s="251"/>
      <c r="AA49" s="251"/>
      <c r="AB49" s="250"/>
      <c r="AC49" s="251"/>
      <c r="AD49" s="251"/>
      <c r="AE49" s="251"/>
      <c r="AF49" s="251"/>
      <c r="AG49" s="251"/>
      <c r="AH49" s="251"/>
      <c r="AI49" s="250"/>
      <c r="AJ49" s="251"/>
      <c r="AK49" s="1215"/>
      <c r="AM49" s="368"/>
      <c r="AN49" s="368" t="str">
        <f t="shared" si="1"/>
        <v>Добавить группу потребителей</v>
      </c>
      <c r="AO49" s="368"/>
      <c r="AP49" s="368"/>
    </row>
    <row r="50" spans="1:42" ht="21" customHeight="1">
      <c r="A50" s="1143" t="s">
        <v>155</v>
      </c>
      <c r="B50" s="1143" t="s">
        <v>156</v>
      </c>
      <c r="C50" s="1143" t="s">
        <v>157</v>
      </c>
      <c r="D50" s="1143" t="s">
        <v>422</v>
      </c>
      <c r="E50" s="2112"/>
      <c r="F50" s="2112"/>
      <c r="G50" s="2112"/>
      <c r="H50" s="2111"/>
      <c r="I50" s="1143"/>
      <c r="J50" s="1143"/>
      <c r="K50" s="1143"/>
      <c r="L50" s="1144"/>
      <c r="M50" s="1145"/>
      <c r="N50" s="1145"/>
      <c r="O50" s="395"/>
      <c r="P50" s="241"/>
      <c r="Q50" s="260"/>
      <c r="R50" s="236"/>
      <c r="S50" s="1062"/>
      <c r="T50" s="256" t="s">
        <v>414</v>
      </c>
      <c r="U50" s="251"/>
      <c r="V50" s="251"/>
      <c r="W50" s="251"/>
      <c r="X50" s="251"/>
      <c r="Y50" s="251"/>
      <c r="Z50" s="251"/>
      <c r="AA50" s="251"/>
      <c r="AB50" s="250"/>
      <c r="AC50" s="251"/>
      <c r="AD50" s="251"/>
      <c r="AE50" s="251"/>
      <c r="AF50" s="251"/>
      <c r="AG50" s="251"/>
      <c r="AH50" s="251"/>
      <c r="AI50" s="250"/>
      <c r="AJ50" s="251"/>
      <c r="AK50" s="178"/>
      <c r="AM50" s="368"/>
      <c r="AN50" s="368" t="str">
        <f t="shared" si="1"/>
        <v>Добавить наименование признака дифференциации</v>
      </c>
      <c r="AO50" s="368"/>
      <c r="AP50" s="368"/>
    </row>
    <row r="51" spans="1:42" s="1686" customFormat="1" ht="0" hidden="1" customHeight="1">
      <c r="A51" s="1124" t="s">
        <v>155</v>
      </c>
      <c r="B51" s="1124" t="s">
        <v>156</v>
      </c>
      <c r="C51" s="1096"/>
      <c r="D51" s="1096"/>
      <c r="E51" s="2112"/>
      <c r="F51" s="2111"/>
      <c r="G51" s="1096"/>
      <c r="H51" s="1096"/>
      <c r="I51" s="1096"/>
      <c r="J51" s="1096"/>
      <c r="K51" s="1096"/>
      <c r="L51" s="1231"/>
      <c r="M51" s="1103"/>
      <c r="N51" s="1103"/>
      <c r="P51" s="1098"/>
      <c r="Q51" s="1099"/>
      <c r="R51" s="1098"/>
      <c r="S51" s="1104"/>
      <c r="T51" s="1107" t="s">
        <v>341</v>
      </c>
      <c r="U51" s="1106"/>
      <c r="V51" s="1106"/>
      <c r="W51" s="1106"/>
      <c r="X51" s="1106"/>
      <c r="Y51" s="1106"/>
      <c r="Z51" s="1106"/>
      <c r="AA51" s="1106"/>
      <c r="AB51" s="1106"/>
      <c r="AC51" s="1106"/>
      <c r="AD51" s="1106"/>
      <c r="AE51" s="1106"/>
      <c r="AF51" s="1106"/>
      <c r="AG51" s="1106"/>
      <c r="AH51" s="1106"/>
      <c r="AI51" s="1106"/>
      <c r="AJ51" s="1106"/>
      <c r="AK51" s="1106"/>
      <c r="AM51" s="598"/>
      <c r="AN51" s="598" t="str">
        <f t="shared" si="1"/>
        <v>Добавить централизованную систему для дифференциации</v>
      </c>
      <c r="AO51" s="598"/>
      <c r="AP51" s="598"/>
    </row>
    <row r="52" spans="1:42" s="1622" customFormat="1" ht="0" hidden="1" customHeight="1">
      <c r="A52" s="1124" t="s">
        <v>155</v>
      </c>
      <c r="B52" s="1124"/>
      <c r="C52" s="1124"/>
      <c r="D52" s="1124"/>
      <c r="E52" s="2111"/>
      <c r="F52" s="1124"/>
      <c r="G52" s="1124"/>
      <c r="H52" s="1124"/>
      <c r="I52" s="1124"/>
      <c r="J52" s="1124"/>
      <c r="K52" s="1124"/>
      <c r="L52" s="1127"/>
      <c r="M52" s="1103"/>
      <c r="N52" s="1103"/>
      <c r="O52" s="386"/>
      <c r="P52" s="269"/>
      <c r="Q52" s="1125"/>
      <c r="R52" s="269"/>
      <c r="S52" s="1104"/>
      <c r="T52" s="1107" t="s">
        <v>342</v>
      </c>
      <c r="U52" s="1106"/>
      <c r="V52" s="1106"/>
      <c r="W52" s="1106"/>
      <c r="X52" s="1106"/>
      <c r="Y52" s="1106"/>
      <c r="Z52" s="1106"/>
      <c r="AA52" s="1106"/>
      <c r="AB52" s="1106"/>
      <c r="AC52" s="1106"/>
      <c r="AD52" s="1106"/>
      <c r="AE52" s="1106"/>
      <c r="AF52" s="1106"/>
      <c r="AG52" s="1106"/>
      <c r="AH52" s="1106"/>
      <c r="AI52" s="1106"/>
      <c r="AJ52" s="1106"/>
      <c r="AK52" s="1106"/>
      <c r="AM52" s="368"/>
      <c r="AN52" s="368" t="str">
        <f t="shared" si="1"/>
        <v>Добавить территорию для дифференциации</v>
      </c>
      <c r="AO52" s="368"/>
      <c r="AP52" s="368"/>
    </row>
    <row r="53" spans="1:42" s="1686" customFormat="1" ht="0" hidden="1" customHeight="1">
      <c r="A53" s="1096"/>
      <c r="B53" s="1096"/>
      <c r="C53" s="1096"/>
      <c r="D53" s="1096"/>
      <c r="E53" s="1124"/>
      <c r="F53" s="1096"/>
      <c r="G53" s="1096"/>
      <c r="H53" s="1096"/>
      <c r="I53" s="1096"/>
      <c r="J53" s="1096"/>
      <c r="K53" s="1096"/>
      <c r="L53" s="1231"/>
      <c r="M53" s="1103"/>
      <c r="N53" s="1103"/>
      <c r="P53" s="1098"/>
      <c r="Q53" s="1099"/>
      <c r="R53" s="1098"/>
      <c r="S53" s="1104"/>
      <c r="T53" s="1107" t="s">
        <v>374</v>
      </c>
      <c r="U53" s="1106"/>
      <c r="V53" s="1106"/>
      <c r="W53" s="1106"/>
      <c r="X53" s="1106"/>
      <c r="Y53" s="1106"/>
      <c r="Z53" s="1106"/>
      <c r="AA53" s="1106"/>
      <c r="AB53" s="1106"/>
      <c r="AC53" s="1106"/>
      <c r="AD53" s="1106"/>
      <c r="AE53" s="1106"/>
      <c r="AF53" s="1106"/>
      <c r="AG53" s="1106"/>
      <c r="AH53" s="1106"/>
      <c r="AI53" s="1106"/>
      <c r="AJ53" s="1106"/>
      <c r="AK53" s="1106"/>
      <c r="AM53" s="598"/>
      <c r="AN53" s="598" t="str">
        <f t="shared" si="1"/>
        <v>Добавить наименование тарифа</v>
      </c>
      <c r="AO53" s="598"/>
      <c r="AP53" s="598"/>
    </row>
    <row r="54" spans="1:42" ht="11.25" customHeight="1">
      <c r="M54" s="929"/>
      <c r="N54" s="929"/>
      <c r="O54" s="395"/>
      <c r="P54" s="924"/>
      <c r="Q54" s="924"/>
      <c r="R54" s="924"/>
      <c r="S54" s="924"/>
      <c r="AL54" s="924"/>
      <c r="AM54" s="924"/>
      <c r="AN54" s="924"/>
      <c r="AO54" s="924"/>
      <c r="AP54" s="924"/>
    </row>
    <row r="55" spans="1:42" ht="14.25" customHeight="1">
      <c r="O55" s="395"/>
      <c r="S55" s="1031"/>
      <c r="T55" s="2110"/>
      <c r="U55" s="2110"/>
      <c r="V55" s="2110"/>
      <c r="W55" s="2110"/>
      <c r="X55" s="2110"/>
      <c r="Y55" s="2110"/>
      <c r="Z55" s="2110"/>
      <c r="AA55" s="2110"/>
      <c r="AB55" s="2110"/>
      <c r="AC55" s="2110"/>
      <c r="AD55" s="2110"/>
      <c r="AE55" s="2110"/>
      <c r="AF55" s="2110"/>
      <c r="AG55" s="2110"/>
      <c r="AH55" s="2110"/>
      <c r="AI55" s="2110"/>
      <c r="AJ55" s="2110"/>
      <c r="AK55" s="2110"/>
    </row>
    <row r="56" spans="1:42" ht="14.25" customHeight="1">
      <c r="O56" s="395"/>
    </row>
    <row r="57" spans="1:42" ht="14.25" customHeight="1">
      <c r="O57" s="395"/>
      <c r="S57" s="1031"/>
      <c r="T57" s="2110"/>
      <c r="U57" s="2110"/>
      <c r="V57" s="2110"/>
      <c r="W57" s="2110"/>
      <c r="X57" s="2110"/>
      <c r="Y57" s="2110"/>
      <c r="Z57" s="2110"/>
      <c r="AA57" s="2110"/>
      <c r="AB57" s="2110"/>
      <c r="AC57" s="2110"/>
      <c r="AD57" s="2110"/>
      <c r="AE57" s="2110"/>
      <c r="AF57" s="2110"/>
      <c r="AG57" s="2110"/>
      <c r="AH57" s="2110"/>
      <c r="AI57" s="2110"/>
      <c r="AJ57" s="2110"/>
      <c r="AK57" s="2110"/>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687" hidden="1"/>
    <col min="2" max="2" width="11" style="1687" hidden="1" customWidth="1"/>
    <col min="3" max="3" width="10.5703125" style="1687" hidden="1"/>
    <col min="4" max="4" width="11.85546875" style="1687" hidden="1" customWidth="1"/>
    <col min="5" max="5" width="10" style="1687" hidden="1" customWidth="1"/>
    <col min="6" max="6" width="8.7109375" style="1687" hidden="1" customWidth="1"/>
    <col min="7" max="7" width="7.5703125" style="1687" hidden="1" customWidth="1"/>
    <col min="8" max="8" width="11.42578125" style="1687" hidden="1" customWidth="1"/>
    <col min="9" max="9" width="14.140625" style="1687" hidden="1" customWidth="1"/>
    <col min="10" max="10" width="9.85546875" style="1687" hidden="1" customWidth="1"/>
    <col min="11" max="11" width="14.7109375" style="1687" hidden="1" customWidth="1"/>
    <col min="12" max="12" width="19.140625" style="1703" hidden="1" customWidth="1"/>
    <col min="13" max="14" width="12.28515625" style="1689" hidden="1" customWidth="1"/>
    <col min="15" max="15" width="23.42578125" style="1689" hidden="1" customWidth="1"/>
    <col min="16" max="16" width="3.7109375" style="1704" customWidth="1"/>
    <col min="17" max="18" width="3.7109375" style="1695" customWidth="1"/>
    <col min="19" max="19" width="12.7109375" style="1696" customWidth="1"/>
    <col min="20" max="20" width="35.7109375" style="1661" customWidth="1"/>
    <col min="21" max="21" width="0.140625" style="1661" customWidth="1"/>
    <col min="22" max="24" width="24.7109375" style="1661" hidden="1" customWidth="1"/>
    <col min="25" max="25" width="11.7109375" style="1661" hidden="1" customWidth="1"/>
    <col min="26" max="26" width="3.7109375" style="1661" hidden="1" customWidth="1"/>
    <col min="27" max="27" width="11.7109375" style="1661" hidden="1" customWidth="1"/>
    <col min="28" max="28" width="8.5703125" style="1661" hidden="1" customWidth="1"/>
    <col min="29" max="31" width="24.7109375" style="1661" customWidth="1"/>
    <col min="32" max="32" width="11.7109375" style="1661" customWidth="1"/>
    <col min="33" max="33" width="3.7109375" style="1661" customWidth="1"/>
    <col min="34" max="34" width="11.7109375" style="1661" customWidth="1"/>
    <col min="35" max="35" width="8.5703125" style="1661" hidden="1" customWidth="1"/>
    <col min="36" max="36" width="4.7109375" style="1661" customWidth="1"/>
    <col min="37" max="37" width="115.7109375" style="1661" customWidth="1"/>
    <col min="38" max="39" width="10.5703125" style="1622"/>
    <col min="40" max="40" width="11.140625" style="1622" customWidth="1"/>
    <col min="41" max="42" width="10.5703125" style="1622"/>
  </cols>
  <sheetData>
    <row r="1" spans="1:42" ht="14.25" hidden="1" customHeight="1">
      <c r="X1" s="210"/>
      <c r="Y1" s="210"/>
      <c r="AE1" s="210"/>
      <c r="AF1" s="210"/>
    </row>
    <row r="2" spans="1:42" ht="23.25" hidden="1" customHeight="1">
      <c r="A2" s="1143"/>
      <c r="B2" s="1143"/>
      <c r="C2" s="1143"/>
      <c r="D2" s="1143"/>
      <c r="E2" s="2111">
        <v>1</v>
      </c>
      <c r="F2" s="1143"/>
      <c r="G2" s="1143"/>
      <c r="H2" s="1143"/>
      <c r="I2" s="1143"/>
      <c r="J2" s="1143"/>
      <c r="K2" s="1143"/>
      <c r="L2" s="1144"/>
      <c r="M2" s="1145"/>
      <c r="N2" s="1145"/>
      <c r="O2" s="1145"/>
      <c r="P2" s="242"/>
      <c r="Q2" s="241"/>
      <c r="R2" s="236"/>
      <c r="S2" s="1230" t="e">
        <f>INDEX(PT_DIFFERENTIATION_NUM_NTAR,MATCH(A2,PT_DIFFERENTIATION_NTAR_ID,0))</f>
        <v>#N/A</v>
      </c>
      <c r="T2" s="173" t="s">
        <v>61</v>
      </c>
      <c r="U2" s="175"/>
      <c r="V2" s="2104"/>
      <c r="W2" s="2105"/>
      <c r="X2" s="2105"/>
      <c r="Y2" s="2105"/>
      <c r="Z2" s="2105"/>
      <c r="AA2" s="2105"/>
      <c r="AB2" s="2106"/>
      <c r="AC2" s="2104" t="e">
        <f>INDEX(PT_DIFFERENTIATION_NTAR,MATCH(A2,PT_DIFFERENTIATION_NTAR_ID,0))</f>
        <v>#N/A</v>
      </c>
      <c r="AD2" s="2105"/>
      <c r="AE2" s="2105"/>
      <c r="AF2" s="2105"/>
      <c r="AG2" s="2105"/>
      <c r="AH2" s="2105"/>
      <c r="AI2" s="2105"/>
      <c r="AJ2" s="2106"/>
      <c r="AK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68"/>
      <c r="AN2" s="368" t="str">
        <f t="shared" ref="AN2:AN13" si="0">IF(T2="","",T2)</f>
        <v>Наименование тарифа</v>
      </c>
      <c r="AO2" s="368"/>
      <c r="AP2" s="368"/>
    </row>
    <row r="3" spans="1:42" ht="23.25" hidden="1" customHeight="1">
      <c r="A3" s="1143"/>
      <c r="B3" s="1143"/>
      <c r="C3" s="1143"/>
      <c r="D3" s="1143"/>
      <c r="E3" s="2112"/>
      <c r="F3" s="2111">
        <v>1</v>
      </c>
      <c r="G3" s="1143"/>
      <c r="H3" s="1143"/>
      <c r="I3" s="1143"/>
      <c r="J3" s="1143"/>
      <c r="K3" s="1143"/>
      <c r="L3" s="1144"/>
      <c r="M3" s="1145"/>
      <c r="N3" s="1145"/>
      <c r="O3" s="1145"/>
      <c r="P3" s="1226"/>
      <c r="Q3" s="233"/>
      <c r="R3" s="234"/>
      <c r="S3" s="1230" t="e">
        <f>INDEX(PT_DIFFERENTIATION_NUM_TER,MATCH(B3,PT_DIFFERENTIATION_TER_ID,0))</f>
        <v>#N/A</v>
      </c>
      <c r="T3" s="185" t="s">
        <v>323</v>
      </c>
      <c r="U3" s="175"/>
      <c r="V3" s="2104"/>
      <c r="W3" s="2105"/>
      <c r="X3" s="2105"/>
      <c r="Y3" s="2105"/>
      <c r="Z3" s="2105"/>
      <c r="AA3" s="2105"/>
      <c r="AB3" s="2106"/>
      <c r="AC3" s="2104" t="e">
        <f>INDEX(PT_DIFFERENTIATION_TER,MATCH(B3,PT_DIFFERENTIATION_TER_ID,0))</f>
        <v>#N/A</v>
      </c>
      <c r="AD3" s="2105"/>
      <c r="AE3" s="2105"/>
      <c r="AF3" s="2105"/>
      <c r="AG3" s="2105"/>
      <c r="AH3" s="2105"/>
      <c r="AI3" s="2105"/>
      <c r="AJ3" s="2106"/>
      <c r="AK3" s="1044" t="s">
        <v>324</v>
      </c>
      <c r="AM3" s="368"/>
      <c r="AN3" s="368" t="str">
        <f t="shared" si="0"/>
        <v>Территория действия тарифа</v>
      </c>
      <c r="AO3" s="368"/>
      <c r="AP3" s="368"/>
    </row>
    <row r="4" spans="1:42" ht="23.25" hidden="1" customHeight="1">
      <c r="A4" s="1143"/>
      <c r="B4" s="1143"/>
      <c r="C4" s="1143"/>
      <c r="D4" s="1143"/>
      <c r="E4" s="2112"/>
      <c r="F4" s="2112"/>
      <c r="G4" s="2111">
        <v>1</v>
      </c>
      <c r="H4" s="1143"/>
      <c r="I4" s="1143"/>
      <c r="J4" s="1143"/>
      <c r="K4" s="1143"/>
      <c r="L4" s="1144"/>
      <c r="M4" s="1145"/>
      <c r="N4" s="1145"/>
      <c r="O4" s="1145"/>
      <c r="P4" s="235"/>
      <c r="Q4" s="233"/>
      <c r="R4" s="234"/>
      <c r="S4" s="1230" t="e">
        <f>INDEX(PT_DIFFERENTIATION_NUM_CS,MATCH(C4,PT_DIFFERENTIATION_CS_ID,0))</f>
        <v>#N/A</v>
      </c>
      <c r="T4" s="186" t="s">
        <v>407</v>
      </c>
      <c r="U4" s="175"/>
      <c r="V4" s="2104"/>
      <c r="W4" s="2105"/>
      <c r="X4" s="2105"/>
      <c r="Y4" s="2105"/>
      <c r="Z4" s="2105"/>
      <c r="AA4" s="2105"/>
      <c r="AB4" s="2106"/>
      <c r="AC4" s="2104" t="e">
        <f>INDEX(PT_DIFFERENTIATION_CS,MATCH(C4,PT_DIFFERENTIATION_CS_ID,0))</f>
        <v>#N/A</v>
      </c>
      <c r="AD4" s="2105"/>
      <c r="AE4" s="2105"/>
      <c r="AF4" s="2105"/>
      <c r="AG4" s="2105"/>
      <c r="AH4" s="2105"/>
      <c r="AI4" s="2105"/>
      <c r="AJ4" s="2106"/>
      <c r="AK4" s="1044" t="s">
        <v>408</v>
      </c>
      <c r="AM4" s="368"/>
      <c r="AN4" s="368" t="str">
        <f t="shared" si="0"/>
        <v>Наименование централизованной системы холодного водоснабжения</v>
      </c>
      <c r="AO4" s="368"/>
      <c r="AP4" s="368"/>
    </row>
    <row r="5" spans="1:42" ht="23.25" hidden="1" customHeight="1">
      <c r="A5" s="1143"/>
      <c r="B5" s="1143"/>
      <c r="C5" s="1143"/>
      <c r="D5" s="1143"/>
      <c r="E5" s="2112"/>
      <c r="F5" s="2112"/>
      <c r="G5" s="2112"/>
      <c r="H5" s="2112"/>
      <c r="I5" s="2113" t="e">
        <f>S4&amp;".1"</f>
        <v>#N/A</v>
      </c>
      <c r="J5" s="1143"/>
      <c r="K5" s="1143"/>
      <c r="L5" s="1144"/>
      <c r="P5" s="2115">
        <v>1</v>
      </c>
      <c r="Q5" s="1223"/>
      <c r="R5" s="237"/>
      <c r="S5" s="1230" t="e">
        <f>$I5</f>
        <v>#N/A</v>
      </c>
      <c r="T5" s="161" t="s">
        <v>409</v>
      </c>
      <c r="U5" s="175"/>
      <c r="V5" s="2171"/>
      <c r="W5" s="2172"/>
      <c r="X5" s="2172"/>
      <c r="Y5" s="2172"/>
      <c r="Z5" s="2172"/>
      <c r="AA5" s="2172"/>
      <c r="AB5" s="2173"/>
      <c r="AC5" s="2174"/>
      <c r="AD5" s="2175"/>
      <c r="AE5" s="2175"/>
      <c r="AF5" s="2175"/>
      <c r="AG5" s="2175"/>
      <c r="AH5" s="2175"/>
      <c r="AI5" s="2175"/>
      <c r="AJ5" s="2176"/>
      <c r="AK5" s="1044" t="s">
        <v>410</v>
      </c>
      <c r="AM5" s="368"/>
      <c r="AN5" s="368" t="str">
        <f t="shared" si="0"/>
        <v>Наименование признака дифференциации</v>
      </c>
      <c r="AO5" s="368"/>
      <c r="AP5" s="368"/>
    </row>
    <row r="6" spans="1:42" ht="23.25" hidden="1" customHeight="1">
      <c r="A6" s="1143"/>
      <c r="B6" s="1143"/>
      <c r="C6" s="1143"/>
      <c r="D6" s="1143"/>
      <c r="E6" s="2112"/>
      <c r="F6" s="2112"/>
      <c r="G6" s="2112"/>
      <c r="H6" s="2112"/>
      <c r="I6" s="2114"/>
      <c r="J6" s="2113" t="e">
        <f>I5&amp;".1"</f>
        <v>#N/A</v>
      </c>
      <c r="K6" s="1143"/>
      <c r="L6" s="1144" t="s">
        <v>332</v>
      </c>
      <c r="P6" s="2115"/>
      <c r="Q6" s="2115">
        <v>1</v>
      </c>
      <c r="R6" s="238"/>
      <c r="S6" s="1230" t="e">
        <f>$J6</f>
        <v>#N/A</v>
      </c>
      <c r="T6" s="162" t="s">
        <v>333</v>
      </c>
      <c r="U6" s="175"/>
      <c r="V6" s="2098"/>
      <c r="W6" s="2099"/>
      <c r="X6" s="2099"/>
      <c r="Y6" s="2099"/>
      <c r="Z6" s="2099"/>
      <c r="AA6" s="2099"/>
      <c r="AB6" s="2100"/>
      <c r="AC6" s="2098"/>
      <c r="AD6" s="2099"/>
      <c r="AE6" s="2099"/>
      <c r="AF6" s="2099"/>
      <c r="AG6" s="2099"/>
      <c r="AH6" s="2099"/>
      <c r="AI6" s="2099"/>
      <c r="AJ6" s="2100"/>
      <c r="AK6" s="1090" t="s">
        <v>411</v>
      </c>
      <c r="AM6" s="368"/>
      <c r="AN6" s="368" t="str">
        <f t="shared" si="0"/>
        <v>Группа потребителей</v>
      </c>
      <c r="AO6" s="368"/>
      <c r="AP6" s="368"/>
    </row>
    <row r="7" spans="1:42" ht="23.25" hidden="1" customHeight="1">
      <c r="A7" s="1143"/>
      <c r="B7" s="1143"/>
      <c r="C7" s="1143"/>
      <c r="D7" s="1143"/>
      <c r="E7" s="2112"/>
      <c r="F7" s="2112"/>
      <c r="G7" s="2112"/>
      <c r="H7" s="2112"/>
      <c r="I7" s="2114"/>
      <c r="J7" s="2114"/>
      <c r="K7" s="2113" t="e">
        <f>J6&amp;".1"</f>
        <v>#N/A</v>
      </c>
      <c r="L7" s="1144"/>
      <c r="P7" s="2115"/>
      <c r="Q7" s="2115"/>
      <c r="R7" s="238">
        <v>1</v>
      </c>
      <c r="S7" s="1230" t="e">
        <f>$K7</f>
        <v>#N/A</v>
      </c>
      <c r="T7" s="1212"/>
      <c r="U7" s="175"/>
      <c r="V7" s="576"/>
      <c r="W7" s="576"/>
      <c r="X7" s="1043"/>
      <c r="Y7" s="2116"/>
      <c r="Z7" s="2109" t="s">
        <v>16</v>
      </c>
      <c r="AA7" s="2116"/>
      <c r="AB7" s="2109" t="s">
        <v>16</v>
      </c>
      <c r="AC7" s="576"/>
      <c r="AD7" s="576"/>
      <c r="AE7" s="1043"/>
      <c r="AF7" s="2116"/>
      <c r="AG7" s="2109" t="s">
        <v>16</v>
      </c>
      <c r="AH7" s="2118"/>
      <c r="AI7" s="2109" t="s">
        <v>16</v>
      </c>
      <c r="AJ7" s="1213"/>
      <c r="AK7"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79" t="e">
        <f ca="1">STRCHECKDATE(V8:AJ8)</f>
        <v>#NAME?</v>
      </c>
      <c r="AM7" s="368"/>
      <c r="AN7" s="368" t="str">
        <f t="shared" si="0"/>
        <v/>
      </c>
      <c r="AO7" s="368"/>
      <c r="AP7" s="368"/>
    </row>
    <row r="8" spans="1:42" ht="14.25" hidden="1" customHeight="1">
      <c r="A8" s="1143"/>
      <c r="B8" s="1143"/>
      <c r="C8" s="1143"/>
      <c r="D8" s="1143"/>
      <c r="E8" s="2112"/>
      <c r="F8" s="2112"/>
      <c r="G8" s="2112"/>
      <c r="H8" s="2112"/>
      <c r="I8" s="2114"/>
      <c r="J8" s="2114"/>
      <c r="K8" s="2113"/>
      <c r="L8" s="1144"/>
      <c r="P8" s="2115"/>
      <c r="Q8" s="2115"/>
      <c r="R8" s="238"/>
      <c r="S8" s="1229"/>
      <c r="T8" s="175"/>
      <c r="U8" s="175"/>
      <c r="V8" s="207"/>
      <c r="W8" s="207"/>
      <c r="X8" s="211" t="str">
        <f>Y7&amp;"-"&amp;AA7</f>
        <v>-</v>
      </c>
      <c r="Y8" s="2117"/>
      <c r="Z8" s="2109"/>
      <c r="AA8" s="2117"/>
      <c r="AB8" s="2109"/>
      <c r="AC8" s="207"/>
      <c r="AD8" s="207"/>
      <c r="AE8" s="211" t="str">
        <f>AF7&amp;"-"&amp;AH7</f>
        <v>-</v>
      </c>
      <c r="AF8" s="2117"/>
      <c r="AG8" s="2109"/>
      <c r="AH8" s="2119"/>
      <c r="AI8" s="2109"/>
      <c r="AJ8" s="1214"/>
      <c r="AK8" s="2177"/>
      <c r="AM8" s="368"/>
      <c r="AN8" s="368" t="str">
        <f t="shared" si="0"/>
        <v/>
      </c>
      <c r="AO8" s="368"/>
      <c r="AP8" s="368"/>
    </row>
    <row r="9" spans="1:42" ht="21" hidden="1" customHeight="1">
      <c r="A9" s="1143"/>
      <c r="B9" s="1143"/>
      <c r="C9" s="1143"/>
      <c r="D9" s="1143"/>
      <c r="E9" s="2112"/>
      <c r="F9" s="2112"/>
      <c r="G9" s="2112"/>
      <c r="H9" s="2112"/>
      <c r="I9" s="2114"/>
      <c r="J9" s="2113"/>
      <c r="K9" s="1143"/>
      <c r="L9" s="1144"/>
      <c r="P9" s="2115"/>
      <c r="Q9" s="2115"/>
      <c r="R9" s="237"/>
      <c r="S9" s="1062"/>
      <c r="T9" s="163" t="s">
        <v>412</v>
      </c>
      <c r="U9" s="251"/>
      <c r="V9" s="251"/>
      <c r="W9" s="251"/>
      <c r="X9" s="251"/>
      <c r="Y9" s="251"/>
      <c r="Z9" s="251"/>
      <c r="AA9" s="251"/>
      <c r="AB9" s="251"/>
      <c r="AC9" s="251"/>
      <c r="AD9" s="251"/>
      <c r="AE9" s="251"/>
      <c r="AF9" s="251"/>
      <c r="AG9" s="251"/>
      <c r="AH9" s="251"/>
      <c r="AI9" s="251"/>
      <c r="AJ9" s="251"/>
      <c r="AK9" s="1044" t="s">
        <v>413</v>
      </c>
      <c r="AM9" s="368"/>
      <c r="AN9" s="368" t="str">
        <f t="shared" si="0"/>
        <v>Добавить значение признака дифференциации</v>
      </c>
      <c r="AO9" s="368"/>
      <c r="AP9" s="368"/>
    </row>
    <row r="10" spans="1:42" ht="21" hidden="1" customHeight="1">
      <c r="A10" s="1143"/>
      <c r="B10" s="1143"/>
      <c r="C10" s="1143"/>
      <c r="D10" s="1143"/>
      <c r="E10" s="2112"/>
      <c r="F10" s="2112"/>
      <c r="G10" s="2112"/>
      <c r="H10" s="2112"/>
      <c r="I10" s="2113"/>
      <c r="J10" s="1143"/>
      <c r="K10" s="1143"/>
      <c r="L10" s="1144"/>
      <c r="P10" s="2115"/>
      <c r="Q10" s="1223"/>
      <c r="R10" s="237"/>
      <c r="S10" s="1062"/>
      <c r="T10" s="248" t="s">
        <v>338</v>
      </c>
      <c r="U10" s="251"/>
      <c r="V10" s="251"/>
      <c r="W10" s="251"/>
      <c r="X10" s="251"/>
      <c r="Y10" s="251"/>
      <c r="Z10" s="251"/>
      <c r="AA10" s="251"/>
      <c r="AB10" s="250"/>
      <c r="AC10" s="251"/>
      <c r="AD10" s="251"/>
      <c r="AE10" s="251"/>
      <c r="AF10" s="251"/>
      <c r="AG10" s="251"/>
      <c r="AH10" s="251"/>
      <c r="AI10" s="250"/>
      <c r="AJ10" s="251"/>
      <c r="AK10" s="1215"/>
      <c r="AM10" s="368"/>
      <c r="AN10" s="368" t="str">
        <f t="shared" si="0"/>
        <v>Добавить группу потребителей</v>
      </c>
      <c r="AO10" s="368"/>
      <c r="AP10" s="368"/>
    </row>
    <row r="11" spans="1:42" ht="21" hidden="1" customHeight="1">
      <c r="A11" s="1143"/>
      <c r="B11" s="1143"/>
      <c r="C11" s="1143"/>
      <c r="D11" s="1143"/>
      <c r="E11" s="2112"/>
      <c r="F11" s="2112"/>
      <c r="G11" s="2112"/>
      <c r="H11" s="2111"/>
      <c r="I11" s="1143"/>
      <c r="J11" s="1143"/>
      <c r="K11" s="1143"/>
      <c r="L11" s="1144"/>
      <c r="M11" s="1145"/>
      <c r="N11" s="1145"/>
      <c r="O11" s="395"/>
      <c r="P11" s="241"/>
      <c r="Q11" s="260"/>
      <c r="R11" s="236"/>
      <c r="S11" s="1062"/>
      <c r="T11" s="256" t="s">
        <v>414</v>
      </c>
      <c r="U11" s="251"/>
      <c r="V11" s="251"/>
      <c r="W11" s="251"/>
      <c r="X11" s="251"/>
      <c r="Y11" s="251"/>
      <c r="Z11" s="251"/>
      <c r="AA11" s="251"/>
      <c r="AB11" s="250"/>
      <c r="AC11" s="251"/>
      <c r="AD11" s="251"/>
      <c r="AE11" s="251"/>
      <c r="AF11" s="251"/>
      <c r="AG11" s="251"/>
      <c r="AH11" s="251"/>
      <c r="AI11" s="250"/>
      <c r="AJ11" s="251"/>
      <c r="AK11" s="178"/>
      <c r="AM11" s="368"/>
      <c r="AN11" s="368" t="str">
        <f t="shared" si="0"/>
        <v>Добавить наименование признака дифференциации</v>
      </c>
      <c r="AO11" s="368"/>
      <c r="AP11" s="368"/>
    </row>
    <row r="12" spans="1:42" s="1686" customFormat="1" ht="14.25" hidden="1" customHeight="1">
      <c r="A12" s="1124"/>
      <c r="B12" s="1124"/>
      <c r="C12" s="1096"/>
      <c r="D12" s="1096"/>
      <c r="E12" s="2112"/>
      <c r="F12" s="2111"/>
      <c r="G12" s="1096"/>
      <c r="H12" s="1096"/>
      <c r="I12" s="1096"/>
      <c r="J12" s="1096"/>
      <c r="K12" s="1096"/>
      <c r="L12" s="1231"/>
      <c r="M12" s="1103"/>
      <c r="N12" s="1103"/>
      <c r="P12" s="1098"/>
      <c r="Q12" s="1099"/>
      <c r="R12" s="1098"/>
      <c r="S12" s="1104"/>
      <c r="T12" s="1107" t="s">
        <v>341</v>
      </c>
      <c r="U12" s="1106"/>
      <c r="V12" s="1106"/>
      <c r="W12" s="1106"/>
      <c r="X12" s="1106"/>
      <c r="Y12" s="1106"/>
      <c r="Z12" s="1106"/>
      <c r="AA12" s="1106"/>
      <c r="AB12" s="1106"/>
      <c r="AC12" s="1106"/>
      <c r="AD12" s="1106"/>
      <c r="AE12" s="1106"/>
      <c r="AF12" s="1106"/>
      <c r="AG12" s="1106"/>
      <c r="AH12" s="1106"/>
      <c r="AI12" s="1106"/>
      <c r="AJ12" s="1106"/>
      <c r="AK12" s="1106"/>
      <c r="AM12" s="598"/>
      <c r="AN12" s="598" t="str">
        <f t="shared" si="0"/>
        <v>Добавить централизованную систему для дифференциации</v>
      </c>
      <c r="AO12" s="598"/>
      <c r="AP12" s="598"/>
    </row>
    <row r="13" spans="1:42" s="1622" customFormat="1" ht="14.25" hidden="1" customHeight="1">
      <c r="A13" s="1124"/>
      <c r="B13" s="1124"/>
      <c r="C13" s="1124"/>
      <c r="D13" s="1124"/>
      <c r="E13" s="2111"/>
      <c r="F13" s="1124"/>
      <c r="G13" s="1124"/>
      <c r="H13" s="1124"/>
      <c r="I13" s="1124"/>
      <c r="J13" s="1124"/>
      <c r="K13" s="1124"/>
      <c r="L13" s="1127"/>
      <c r="M13" s="1103"/>
      <c r="N13" s="1103"/>
      <c r="O13" s="386"/>
      <c r="P13" s="269"/>
      <c r="Q13" s="1125"/>
      <c r="R13" s="269"/>
      <c r="S13" s="1104"/>
      <c r="T13" s="1107" t="s">
        <v>342</v>
      </c>
      <c r="U13" s="1106"/>
      <c r="V13" s="1106"/>
      <c r="W13" s="1106"/>
      <c r="X13" s="1106"/>
      <c r="Y13" s="1106"/>
      <c r="Z13" s="1106"/>
      <c r="AA13" s="1106"/>
      <c r="AB13" s="1106"/>
      <c r="AC13" s="1106"/>
      <c r="AD13" s="1106"/>
      <c r="AE13" s="1106"/>
      <c r="AF13" s="1106"/>
      <c r="AG13" s="1106"/>
      <c r="AH13" s="1106"/>
      <c r="AI13" s="1106"/>
      <c r="AJ13" s="1106"/>
      <c r="AK13" s="1106"/>
      <c r="AM13" s="368"/>
      <c r="AN13" s="368" t="str">
        <f t="shared" si="0"/>
        <v>Добавить территорию для дифференциации</v>
      </c>
      <c r="AO13" s="368"/>
      <c r="AP13" s="368"/>
    </row>
    <row r="14" spans="1:42" ht="14.25" hidden="1" customHeight="1">
      <c r="AB14" s="210"/>
      <c r="AI14" s="210"/>
    </row>
    <row r="15" spans="1:42" ht="14.25" hidden="1" customHeight="1">
      <c r="AC15" s="1140"/>
      <c r="AD15" s="1140"/>
      <c r="AE15" s="1141"/>
      <c r="AF15" s="2108"/>
      <c r="AG15" s="2107" t="s">
        <v>16</v>
      </c>
      <c r="AH15" s="2108"/>
      <c r="AI15" s="2107" t="s">
        <v>16</v>
      </c>
    </row>
    <row r="16" spans="1:42" ht="14.25" hidden="1" customHeight="1">
      <c r="AC16" s="1140"/>
      <c r="AD16" s="1140"/>
      <c r="AE16" s="211" t="str">
        <f>AF15&amp;"-"&amp;AH15</f>
        <v>-</v>
      </c>
      <c r="AF16" s="2107"/>
      <c r="AG16" s="2107"/>
      <c r="AH16" s="2107"/>
      <c r="AI16" s="2107"/>
    </row>
    <row r="17" spans="1:42" ht="14.25" hidden="1" customHeight="1">
      <c r="AI17" s="210"/>
    </row>
    <row r="18" spans="1:42" s="1687" customFormat="1" ht="22.5" hidden="1" customHeight="1">
      <c r="L18" s="1220"/>
      <c r="M18" s="1142"/>
      <c r="N18" s="1142"/>
      <c r="O18" s="1147" t="s">
        <v>343</v>
      </c>
      <c r="P18" s="1142"/>
      <c r="Q18" s="1151"/>
      <c r="R18" s="1151"/>
      <c r="S18" s="556"/>
      <c r="Y18" s="1147"/>
      <c r="AA18" s="1147"/>
      <c r="AB18" s="1146"/>
      <c r="AF18" s="1147"/>
      <c r="AH18" s="1147"/>
      <c r="AI18" s="1146"/>
      <c r="AL18" s="379"/>
      <c r="AM18" s="379"/>
      <c r="AN18" s="379"/>
      <c r="AO18" s="379"/>
      <c r="AP18" s="379"/>
    </row>
    <row r="19" spans="1:42" s="1687" customFormat="1" ht="14.25" hidden="1" customHeight="1">
      <c r="L19" s="1220"/>
      <c r="M19" s="1142"/>
      <c r="N19" s="1142"/>
      <c r="O19" s="1142"/>
      <c r="P19" s="1142"/>
      <c r="Q19" s="1151"/>
      <c r="R19" s="1151"/>
      <c r="S19" s="556"/>
      <c r="AB19" s="1146"/>
      <c r="AI19" s="1146"/>
      <c r="AL19" s="379"/>
      <c r="AM19" s="379"/>
      <c r="AN19" s="379"/>
      <c r="AO19" s="379"/>
      <c r="AP19" s="379"/>
    </row>
    <row r="20" spans="1:42" s="1687" customFormat="1" ht="12" hidden="1" customHeight="1">
      <c r="L20" s="1220"/>
      <c r="M20" s="1142"/>
      <c r="N20" s="1142"/>
      <c r="O20" s="1144" t="s">
        <v>344</v>
      </c>
      <c r="P20" s="1142"/>
      <c r="Q20" s="1216"/>
      <c r="R20" s="1216"/>
      <c r="S20" s="556"/>
      <c r="T20" s="929" t="s">
        <v>345</v>
      </c>
      <c r="Z20" s="86" t="s">
        <v>346</v>
      </c>
      <c r="AB20" s="86" t="s">
        <v>347</v>
      </c>
      <c r="AC20" s="929" t="s">
        <v>345</v>
      </c>
      <c r="AG20" s="86" t="s">
        <v>348</v>
      </c>
      <c r="AI20" s="86" t="s">
        <v>347</v>
      </c>
    </row>
    <row r="21" spans="1:42" ht="14.25" hidden="1" customHeight="1">
      <c r="O21" s="1144"/>
    </row>
    <row r="22" spans="1:42" ht="14.25" hidden="1" customHeight="1">
      <c r="O22" s="1144"/>
    </row>
    <row r="23" spans="1:42" ht="14.25" customHeight="1">
      <c r="Q23" s="261"/>
      <c r="R23" s="261"/>
      <c r="S23" s="1059"/>
      <c r="T23" s="246"/>
      <c r="U23" s="246"/>
      <c r="V23" s="377"/>
      <c r="W23" s="377"/>
      <c r="X23" s="377"/>
      <c r="Y23" s="377"/>
      <c r="Z23" s="377"/>
      <c r="AA23" s="377"/>
      <c r="AB23" s="377"/>
      <c r="AC23" s="377"/>
      <c r="AD23" s="377"/>
      <c r="AE23" s="377"/>
      <c r="AF23" s="377"/>
      <c r="AG23" s="377"/>
      <c r="AH23" s="377"/>
      <c r="AI23" s="377"/>
    </row>
    <row r="24" spans="1:42" ht="14.25" customHeight="1">
      <c r="Q24" s="261"/>
      <c r="R24" s="261"/>
      <c r="S24" s="208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88"/>
      <c r="U24" s="2088"/>
      <c r="V24" s="2088"/>
      <c r="W24" s="2088"/>
      <c r="X24" s="2088"/>
      <c r="Y24" s="2088"/>
      <c r="Z24" s="2088"/>
      <c r="AA24" s="2088"/>
      <c r="AB24" s="2088"/>
      <c r="AC24" s="2088"/>
      <c r="AD24" s="2088"/>
      <c r="AE24" s="2088"/>
      <c r="AF24" s="2088"/>
      <c r="AG24" s="2088"/>
      <c r="AH24" s="2088"/>
      <c r="AI24" s="1019"/>
    </row>
    <row r="25" spans="1:42" ht="14.25" customHeight="1">
      <c r="Q25" s="261"/>
      <c r="R25" s="261"/>
      <c r="S25" s="2059" t="e">
        <f>IF(org=0,"Не определено",org)</f>
        <v>#REF!</v>
      </c>
      <c r="T25" s="2059"/>
      <c r="U25" s="2059"/>
      <c r="V25" s="2059"/>
      <c r="W25" s="2059"/>
      <c r="X25" s="2059"/>
      <c r="Y25" s="2059"/>
      <c r="Z25" s="2059"/>
      <c r="AA25" s="2059"/>
      <c r="AB25" s="2059"/>
      <c r="AC25" s="2059"/>
      <c r="AD25" s="2059"/>
      <c r="AE25" s="2059"/>
      <c r="AF25" s="2059"/>
      <c r="AG25" s="2059"/>
      <c r="AH25" s="2059"/>
      <c r="AI25" s="1019"/>
    </row>
    <row r="26" spans="1:42" ht="14.25" hidden="1" customHeight="1">
      <c r="Q26" s="261"/>
      <c r="R26" s="261"/>
      <c r="S26" s="1059"/>
      <c r="T26" s="246"/>
      <c r="U26" s="246"/>
      <c r="V26" s="203"/>
      <c r="W26" s="203"/>
      <c r="X26" s="203"/>
      <c r="Y26" s="203"/>
      <c r="Z26" s="203"/>
      <c r="AA26" s="203"/>
      <c r="AB26" s="203"/>
      <c r="AC26" s="203"/>
      <c r="AD26" s="203"/>
      <c r="AE26" s="203"/>
      <c r="AF26" s="203"/>
      <c r="AG26" s="203"/>
      <c r="AH26" s="203"/>
      <c r="AI26" s="203"/>
      <c r="AJ26" s="377"/>
    </row>
    <row r="27" spans="1:42" s="1692" customFormat="1" ht="25.5" hidden="1" customHeight="1">
      <c r="A27" s="1148"/>
      <c r="B27" s="1148"/>
      <c r="C27" s="1148"/>
      <c r="D27" s="1148"/>
      <c r="E27" s="1148"/>
      <c r="F27" s="1148"/>
      <c r="G27" s="1148"/>
      <c r="H27" s="1148"/>
      <c r="I27" s="1148"/>
      <c r="J27" s="1148"/>
      <c r="K27" s="1148"/>
      <c r="L27" s="1149"/>
      <c r="M27" s="1148"/>
      <c r="N27" s="1148"/>
      <c r="O27" s="1148"/>
      <c r="S27" s="2101" t="s">
        <v>6</v>
      </c>
      <c r="T27" s="2101"/>
      <c r="U27" s="1152"/>
      <c r="V27" s="2103" t="e">
        <f>IF(TITLE_NAME_OR_PR_CHANGE="",IF(TITLE_NAME_OR_PR="","",TITLE_NAME_OR_PR),TITLE_NAME_OR_PR_CHANGE)</f>
        <v>#REF!</v>
      </c>
      <c r="W27" s="2103"/>
      <c r="X27" s="2103"/>
      <c r="Y27" s="2103"/>
      <c r="Z27" s="2103"/>
      <c r="AA27" s="2103"/>
      <c r="AB27" s="209"/>
      <c r="AC27" s="2103" t="e">
        <f>IF(TITLE_NAME_OR_PR_CHANGE="",IF(TITLE_NAME_OR_PR="","",TITLE_NAME_OR_PR),TITLE_NAME_OR_PR_CHANGE)</f>
        <v>#REF!</v>
      </c>
      <c r="AD27" s="2103"/>
      <c r="AE27" s="2103"/>
      <c r="AF27" s="2103"/>
      <c r="AG27" s="2103"/>
      <c r="AH27" s="2103"/>
      <c r="AI27" s="209"/>
      <c r="AJ27" s="209"/>
      <c r="AK27" s="157"/>
      <c r="AL27" s="252"/>
      <c r="AM27" s="252"/>
      <c r="AN27" s="252"/>
      <c r="AO27" s="252"/>
      <c r="AP27" s="252"/>
    </row>
    <row r="28" spans="1:42" s="1692" customFormat="1" ht="18.75" hidden="1" customHeight="1">
      <c r="A28" s="1148"/>
      <c r="B28" s="1148"/>
      <c r="C28" s="1148"/>
      <c r="D28" s="1148"/>
      <c r="E28" s="1148"/>
      <c r="F28" s="1148"/>
      <c r="G28" s="1148"/>
      <c r="H28" s="1148"/>
      <c r="I28" s="1148"/>
      <c r="J28" s="1148"/>
      <c r="K28" s="1148"/>
      <c r="L28" s="1149"/>
      <c r="M28" s="1148"/>
      <c r="N28" s="1148"/>
      <c r="O28" s="1148"/>
      <c r="S28" s="2101" t="s">
        <v>349</v>
      </c>
      <c r="T28" s="2101"/>
      <c r="U28" s="1152"/>
      <c r="V28" s="2102" t="e">
        <f>IF(TITLE_DATE_PR_CHANGE="",IF(TITLE_DATE_PR="","",TITLE_DATE_PR),TITLE_DATE_PR_CHANGE)</f>
        <v>#REF!</v>
      </c>
      <c r="W28" s="2102"/>
      <c r="X28" s="2102"/>
      <c r="Y28" s="2102"/>
      <c r="Z28" s="2102"/>
      <c r="AA28" s="2102"/>
      <c r="AB28" s="209"/>
      <c r="AC28" s="2102" t="e">
        <f>IF(TITLE_DATE_PR_CHANGE="",IF(TITLE_DATE_PR="","",TITLE_DATE_PR),TITLE_DATE_PR_CHANGE)</f>
        <v>#REF!</v>
      </c>
      <c r="AD28" s="2102"/>
      <c r="AE28" s="2102"/>
      <c r="AF28" s="2102"/>
      <c r="AG28" s="2102"/>
      <c r="AH28" s="2102"/>
      <c r="AI28" s="209"/>
      <c r="AJ28" s="209"/>
      <c r="AK28" s="157"/>
      <c r="AL28" s="252"/>
      <c r="AM28" s="252"/>
      <c r="AN28" s="252"/>
      <c r="AO28" s="252"/>
      <c r="AP28" s="252"/>
    </row>
    <row r="29" spans="1:42" s="1692" customFormat="1" ht="18.75" hidden="1" customHeight="1">
      <c r="A29" s="1148"/>
      <c r="B29" s="1148"/>
      <c r="C29" s="1148"/>
      <c r="D29" s="1148"/>
      <c r="E29" s="1148"/>
      <c r="F29" s="1148"/>
      <c r="G29" s="1148"/>
      <c r="H29" s="1148"/>
      <c r="I29" s="1148"/>
      <c r="J29" s="1148"/>
      <c r="K29" s="1148"/>
      <c r="L29" s="1149"/>
      <c r="M29" s="1148"/>
      <c r="N29" s="1148"/>
      <c r="O29" s="1148"/>
      <c r="S29" s="2101" t="s">
        <v>350</v>
      </c>
      <c r="T29" s="2101"/>
      <c r="U29" s="1152"/>
      <c r="V29" s="2103" t="e">
        <f>IF(TITLE_NUMBER_PR_CHANGE="",IF(TITLE_NUMBER_PR="","",TITLE_NUMBER_PR),TITLE_NUMBER_PR_CHANGE)</f>
        <v>#REF!</v>
      </c>
      <c r="W29" s="2103"/>
      <c r="X29" s="2103"/>
      <c r="Y29" s="2103"/>
      <c r="Z29" s="2103"/>
      <c r="AA29" s="2103"/>
      <c r="AB29" s="209"/>
      <c r="AC29" s="2103" t="e">
        <f>IF(TITLE_NUMBER_PR_CHANGE="",IF(TITLE_NUMBER_PR="","",TITLE_NUMBER_PR),TITLE_NUMBER_PR_CHANGE)</f>
        <v>#REF!</v>
      </c>
      <c r="AD29" s="2103"/>
      <c r="AE29" s="2103"/>
      <c r="AF29" s="2103"/>
      <c r="AG29" s="2103"/>
      <c r="AH29" s="2103"/>
      <c r="AI29" s="209"/>
      <c r="AJ29" s="209"/>
      <c r="AK29" s="157"/>
      <c r="AL29" s="252"/>
      <c r="AM29" s="252"/>
      <c r="AN29" s="252"/>
      <c r="AO29" s="252"/>
      <c r="AP29" s="252"/>
    </row>
    <row r="30" spans="1:42" s="1692" customFormat="1" ht="18.75" hidden="1" customHeight="1">
      <c r="A30" s="1148"/>
      <c r="B30" s="1148"/>
      <c r="C30" s="1148"/>
      <c r="D30" s="1148"/>
      <c r="E30" s="1148"/>
      <c r="F30" s="1148"/>
      <c r="G30" s="1148"/>
      <c r="H30" s="1148"/>
      <c r="I30" s="1148"/>
      <c r="J30" s="1148"/>
      <c r="K30" s="1148"/>
      <c r="L30" s="1149"/>
      <c r="M30" s="1148"/>
      <c r="N30" s="1148"/>
      <c r="O30" s="1148"/>
      <c r="S30" s="2101" t="s">
        <v>7</v>
      </c>
      <c r="T30" s="2101"/>
      <c r="U30" s="1152"/>
      <c r="V30" s="2103" t="e">
        <f>IF(TITLE_IST_PUB_CHANGE="",IF(TITLE_IST_PUB="","",TITLE_IST_PUB),TITLE_IST_PUB_CHANGE)</f>
        <v>#REF!</v>
      </c>
      <c r="W30" s="2103"/>
      <c r="X30" s="2103"/>
      <c r="Y30" s="2103"/>
      <c r="Z30" s="2103"/>
      <c r="AA30" s="2103"/>
      <c r="AB30" s="209"/>
      <c r="AC30" s="2103" t="e">
        <f>IF(TITLE_IST_PUB_CHANGE="",IF(TITLE_IST_PUB="","",TITLE_IST_PUB),TITLE_IST_PUB_CHANGE)</f>
        <v>#REF!</v>
      </c>
      <c r="AD30" s="2103"/>
      <c r="AE30" s="2103"/>
      <c r="AF30" s="2103"/>
      <c r="AG30" s="2103"/>
      <c r="AH30" s="2103"/>
      <c r="AI30" s="209"/>
      <c r="AJ30" s="209"/>
      <c r="AK30" s="157"/>
      <c r="AL30" s="252"/>
      <c r="AM30" s="252"/>
      <c r="AN30" s="252"/>
      <c r="AO30" s="252"/>
      <c r="AP30" s="252"/>
    </row>
    <row r="31" spans="1:42" ht="14.25" hidden="1" customHeight="1">
      <c r="Q31" s="261"/>
      <c r="R31" s="261"/>
      <c r="S31" s="1059"/>
      <c r="T31" s="246"/>
      <c r="U31" s="246"/>
      <c r="V31" s="203"/>
      <c r="W31" s="203"/>
      <c r="X31" s="203"/>
      <c r="Y31" s="203"/>
      <c r="Z31" s="203"/>
      <c r="AA31" s="203"/>
      <c r="AB31" s="203"/>
      <c r="AC31" s="203"/>
      <c r="AD31" s="203"/>
      <c r="AE31" s="203"/>
      <c r="AF31" s="203"/>
      <c r="AG31" s="203"/>
      <c r="AH31" s="203"/>
      <c r="AI31" s="203"/>
      <c r="AJ31" s="377"/>
    </row>
    <row r="32" spans="1:42" s="1692" customFormat="1" ht="18.75" hidden="1" customHeight="1">
      <c r="A32" s="1148"/>
      <c r="B32" s="1148"/>
      <c r="C32" s="1148"/>
      <c r="D32" s="1148"/>
      <c r="E32" s="1148"/>
      <c r="F32" s="1148"/>
      <c r="G32" s="1148"/>
      <c r="H32" s="1148"/>
      <c r="I32" s="1148"/>
      <c r="J32" s="1148"/>
      <c r="K32" s="1148"/>
      <c r="L32" s="1149"/>
      <c r="M32" s="1148"/>
      <c r="N32" s="1148"/>
      <c r="O32" s="1148"/>
      <c r="S32" s="2101" t="s">
        <v>351</v>
      </c>
      <c r="T32" s="2101"/>
      <c r="U32" s="1152"/>
      <c r="V32" s="2102" t="e">
        <f>IF(TITLE_DATE_PR_CHANGE="",IF(TITLE_DATE_PR="","",TITLE_DATE_PR),TITLE_DATE_PR_CHANGE)</f>
        <v>#REF!</v>
      </c>
      <c r="W32" s="2102"/>
      <c r="X32" s="2102"/>
      <c r="Y32" s="2102"/>
      <c r="Z32" s="2102"/>
      <c r="AA32" s="2102"/>
      <c r="AB32" s="209"/>
      <c r="AC32" s="2102" t="e">
        <f>IF(TITLE_DATE_PR_CHANGE="",IF(TITLE_DATE_PR="","",TITLE_DATE_PR),TITLE_DATE_PR_CHANGE)</f>
        <v>#REF!</v>
      </c>
      <c r="AD32" s="2102"/>
      <c r="AE32" s="2102"/>
      <c r="AF32" s="2102"/>
      <c r="AG32" s="2102"/>
      <c r="AH32" s="2102"/>
      <c r="AI32" s="209"/>
      <c r="AJ32" s="209"/>
      <c r="AK32" s="157"/>
      <c r="AL32" s="252"/>
      <c r="AM32" s="252"/>
      <c r="AN32" s="252"/>
      <c r="AO32" s="252"/>
      <c r="AP32" s="252"/>
    </row>
    <row r="33" spans="1:42" s="1692" customFormat="1" ht="18.75" hidden="1" customHeight="1">
      <c r="A33" s="1148"/>
      <c r="B33" s="1148"/>
      <c r="C33" s="1148"/>
      <c r="D33" s="1148"/>
      <c r="E33" s="1148"/>
      <c r="F33" s="1148"/>
      <c r="G33" s="1148"/>
      <c r="H33" s="1148"/>
      <c r="I33" s="1148"/>
      <c r="J33" s="1148"/>
      <c r="K33" s="1148"/>
      <c r="L33" s="1149"/>
      <c r="M33" s="1148"/>
      <c r="N33" s="1148"/>
      <c r="O33" s="1148"/>
      <c r="S33" s="2101" t="s">
        <v>352</v>
      </c>
      <c r="T33" s="2101"/>
      <c r="U33" s="1152"/>
      <c r="V33" s="2103" t="e">
        <f>IF(TITLE_NUMBER_PR_CHANGE="",IF(TITLE_NUMBER_PR="","",TITLE_NUMBER_PR),TITLE_NUMBER_PR_CHANGE)</f>
        <v>#REF!</v>
      </c>
      <c r="W33" s="2103"/>
      <c r="X33" s="2103"/>
      <c r="Y33" s="2103"/>
      <c r="Z33" s="2103"/>
      <c r="AA33" s="2103"/>
      <c r="AB33" s="209"/>
      <c r="AC33" s="2103" t="e">
        <f>IF(TITLE_NUMBER_PR_CHANGE="",IF(TITLE_NUMBER_PR="","",TITLE_NUMBER_PR),TITLE_NUMBER_PR_CHANGE)</f>
        <v>#REF!</v>
      </c>
      <c r="AD33" s="2103"/>
      <c r="AE33" s="2103"/>
      <c r="AF33" s="2103"/>
      <c r="AG33" s="2103"/>
      <c r="AH33" s="2103"/>
      <c r="AI33" s="209"/>
      <c r="AJ33" s="209"/>
      <c r="AK33" s="157"/>
      <c r="AL33" s="252"/>
      <c r="AM33" s="252"/>
      <c r="AN33" s="252"/>
      <c r="AO33" s="252"/>
      <c r="AP33" s="252"/>
    </row>
    <row r="34" spans="1:42" s="1692" customFormat="1" ht="0.75" customHeight="1">
      <c r="A34" s="1148"/>
      <c r="B34" s="1148"/>
      <c r="C34" s="1148"/>
      <c r="D34" s="1148"/>
      <c r="E34" s="1148"/>
      <c r="F34" s="1148"/>
      <c r="G34" s="1148"/>
      <c r="H34" s="1148"/>
      <c r="I34" s="1148"/>
      <c r="J34" s="1148"/>
      <c r="K34" s="1148"/>
      <c r="L34" s="1149"/>
      <c r="M34" s="1148"/>
      <c r="N34" s="1148"/>
      <c r="O34" s="1148"/>
      <c r="S34" s="205"/>
      <c r="T34" s="205"/>
      <c r="U34" s="1227"/>
      <c r="V34" s="209"/>
      <c r="W34" s="209"/>
      <c r="X34" s="209"/>
      <c r="Y34" s="209"/>
      <c r="Z34" s="209"/>
      <c r="AA34" s="209"/>
      <c r="AB34" s="155" t="s">
        <v>353</v>
      </c>
      <c r="AC34" s="209"/>
      <c r="AD34" s="209"/>
      <c r="AE34" s="209"/>
      <c r="AF34" s="209"/>
      <c r="AG34" s="209"/>
      <c r="AH34" s="209"/>
      <c r="AI34" s="155" t="s">
        <v>353</v>
      </c>
      <c r="AL34" s="252"/>
      <c r="AM34" s="252"/>
      <c r="AN34" s="252"/>
      <c r="AO34" s="252"/>
      <c r="AP34" s="252"/>
    </row>
    <row r="35" spans="1:42" ht="14.25" customHeight="1">
      <c r="Q35" s="261"/>
      <c r="R35" s="261"/>
      <c r="S35" s="1059"/>
      <c r="T35" s="246"/>
      <c r="U35" s="1020"/>
      <c r="V35" s="2123"/>
      <c r="W35" s="2123"/>
      <c r="X35" s="2123"/>
      <c r="Y35" s="2123"/>
      <c r="Z35" s="2123"/>
      <c r="AA35" s="2123"/>
      <c r="AB35" s="2123"/>
      <c r="AC35" s="2123"/>
      <c r="AD35" s="2123"/>
      <c r="AE35" s="2123"/>
      <c r="AF35" s="2123"/>
      <c r="AG35" s="2123"/>
      <c r="AH35" s="2123"/>
      <c r="AI35" s="2123"/>
    </row>
    <row r="36" spans="1:42" ht="14.25" customHeight="1">
      <c r="Q36" s="261"/>
      <c r="R36" s="261"/>
      <c r="S36" s="2025" t="s">
        <v>224</v>
      </c>
      <c r="T36" s="2025"/>
      <c r="U36" s="2025"/>
      <c r="V36" s="2025"/>
      <c r="W36" s="2025"/>
      <c r="X36" s="2025"/>
      <c r="Y36" s="2025"/>
      <c r="Z36" s="2025"/>
      <c r="AA36" s="2025"/>
      <c r="AB36" s="2025"/>
      <c r="AC36" s="2025"/>
      <c r="AD36" s="2025"/>
      <c r="AE36" s="2025"/>
      <c r="AF36" s="2025"/>
      <c r="AG36" s="2025"/>
      <c r="AH36" s="2025"/>
      <c r="AI36" s="2025"/>
      <c r="AJ36" s="2025"/>
      <c r="AK36" s="2025" t="s">
        <v>225</v>
      </c>
    </row>
    <row r="37" spans="1:42" ht="14.25" customHeight="1">
      <c r="Q37" s="261"/>
      <c r="R37" s="261"/>
      <c r="S37" s="2124" t="s">
        <v>22</v>
      </c>
      <c r="T37" s="2068" t="s">
        <v>354</v>
      </c>
      <c r="U37" s="176"/>
      <c r="V37" s="2125" t="s">
        <v>355</v>
      </c>
      <c r="W37" s="2126"/>
      <c r="X37" s="2126"/>
      <c r="Y37" s="2126"/>
      <c r="Z37" s="2126"/>
      <c r="AA37" s="2127"/>
      <c r="AB37" s="2128" t="s">
        <v>356</v>
      </c>
      <c r="AC37" s="2125" t="s">
        <v>355</v>
      </c>
      <c r="AD37" s="2126"/>
      <c r="AE37" s="2126"/>
      <c r="AF37" s="2126"/>
      <c r="AG37" s="2126"/>
      <c r="AH37" s="2127"/>
      <c r="AI37" s="2128" t="s">
        <v>357</v>
      </c>
      <c r="AJ37" s="2131" t="s">
        <v>358</v>
      </c>
      <c r="AK37" s="2025"/>
    </row>
    <row r="38" spans="1:42" ht="33.75" customHeight="1">
      <c r="Q38" s="261"/>
      <c r="R38" s="261"/>
      <c r="S38" s="2124"/>
      <c r="T38" s="2068"/>
      <c r="U38" s="814"/>
      <c r="V38" s="1225" t="s">
        <v>415</v>
      </c>
      <c r="W38" s="1956" t="s">
        <v>361</v>
      </c>
      <c r="X38" s="1958"/>
      <c r="Y38" s="1956" t="s">
        <v>362</v>
      </c>
      <c r="Z38" s="1957"/>
      <c r="AA38" s="1958"/>
      <c r="AB38" s="2129"/>
      <c r="AC38" s="1225" t="s">
        <v>415</v>
      </c>
      <c r="AD38" s="1956" t="s">
        <v>361</v>
      </c>
      <c r="AE38" s="1958"/>
      <c r="AF38" s="1956" t="s">
        <v>362</v>
      </c>
      <c r="AG38" s="1957"/>
      <c r="AH38" s="1958"/>
      <c r="AI38" s="2129"/>
      <c r="AJ38" s="2132"/>
      <c r="AK38" s="2025"/>
    </row>
    <row r="39" spans="1:42" ht="33.75" customHeight="1">
      <c r="A39" s="1150"/>
      <c r="B39" s="1150" t="s">
        <v>73</v>
      </c>
      <c r="C39" s="1150" t="s">
        <v>74</v>
      </c>
      <c r="D39" s="1150" t="s">
        <v>75</v>
      </c>
      <c r="E39" s="1144" t="s">
        <v>363</v>
      </c>
      <c r="F39" s="1144" t="s">
        <v>364</v>
      </c>
      <c r="G39" s="1144" t="s">
        <v>365</v>
      </c>
      <c r="H39" s="1144"/>
      <c r="I39" s="1144" t="s">
        <v>416</v>
      </c>
      <c r="J39" s="1144" t="s">
        <v>368</v>
      </c>
      <c r="K39" s="1144" t="s">
        <v>417</v>
      </c>
      <c r="L39" s="1144" t="s">
        <v>344</v>
      </c>
      <c r="Q39" s="261"/>
      <c r="R39" s="261"/>
      <c r="S39" s="2124"/>
      <c r="T39" s="2068"/>
      <c r="U39" s="177"/>
      <c r="V39" s="1225" t="s">
        <v>418</v>
      </c>
      <c r="W39" s="995" t="s">
        <v>419</v>
      </c>
      <c r="X39" s="995" t="s">
        <v>420</v>
      </c>
      <c r="Y39" s="1228" t="s">
        <v>372</v>
      </c>
      <c r="Z39" s="2073" t="s">
        <v>373</v>
      </c>
      <c r="AA39" s="2087"/>
      <c r="AB39" s="2130"/>
      <c r="AC39" s="1225" t="s">
        <v>418</v>
      </c>
      <c r="AD39" s="995" t="s">
        <v>419</v>
      </c>
      <c r="AE39" s="995" t="s">
        <v>420</v>
      </c>
      <c r="AF39" s="1228" t="s">
        <v>372</v>
      </c>
      <c r="AG39" s="2073" t="s">
        <v>373</v>
      </c>
      <c r="AH39" s="2087"/>
      <c r="AI39" s="2130"/>
      <c r="AJ39" s="2133"/>
      <c r="AK39" s="2025"/>
    </row>
    <row r="40" spans="1:42" s="1621" customFormat="1" ht="0" hidden="1" customHeight="1">
      <c r="A40" s="1150"/>
      <c r="B40" s="1150"/>
      <c r="C40" s="1150"/>
      <c r="D40" s="1150"/>
      <c r="E40" s="1150"/>
      <c r="F40" s="1150"/>
      <c r="G40" s="1150"/>
      <c r="H40" s="1150"/>
      <c r="I40" s="1150"/>
      <c r="J40" s="1150"/>
      <c r="K40" s="1150"/>
      <c r="L40" s="1144"/>
      <c r="M40" s="1142"/>
      <c r="N40" s="1142"/>
      <c r="O40" s="1142"/>
      <c r="P40" s="1022"/>
      <c r="Q40" s="1023"/>
      <c r="R40" s="1038">
        <v>1</v>
      </c>
      <c r="S40" s="1061" t="s">
        <v>43</v>
      </c>
      <c r="T40" s="1039" t="s">
        <v>44</v>
      </c>
      <c r="U40" s="1021" t="str">
        <f ca="1">OFFSET(U40,0,-1)</f>
        <v>2</v>
      </c>
      <c r="V40" s="1224">
        <f ca="1">OFFSET(V40,0,-1)+1</f>
        <v>3</v>
      </c>
      <c r="W40" s="1224">
        <f ca="1">OFFSET(W40,0,-1)+1</f>
        <v>4</v>
      </c>
      <c r="X40" s="1224">
        <f ca="1">OFFSET(X40,0,-1)+1</f>
        <v>5</v>
      </c>
      <c r="Y40" s="1224">
        <f ca="1">OFFSET(Y40,0,-1)+1</f>
        <v>6</v>
      </c>
      <c r="Z40" s="2122">
        <f ca="1">OFFSET(Z40,0,-1)+1</f>
        <v>7</v>
      </c>
      <c r="AA40" s="2122"/>
      <c r="AB40" s="1224">
        <f ca="1">OFFSET(AB40,0,-2)+1</f>
        <v>8</v>
      </c>
      <c r="AC40" s="1224">
        <f ca="1">OFFSET(AC40,0,-1)+1</f>
        <v>9</v>
      </c>
      <c r="AD40" s="1224">
        <f ca="1">OFFSET(AD40,0,-1)+1</f>
        <v>10</v>
      </c>
      <c r="AE40" s="1224">
        <f ca="1">OFFSET(AE40,0,-1)+1</f>
        <v>11</v>
      </c>
      <c r="AF40" s="1224">
        <f ca="1">OFFSET(AF40,0,-1)+1</f>
        <v>12</v>
      </c>
      <c r="AG40" s="2122">
        <f ca="1">OFFSET(AG40,0,-1)+1</f>
        <v>13</v>
      </c>
      <c r="AH40" s="2122"/>
      <c r="AI40" s="1224">
        <f ca="1">OFFSET(AI40,0,-2)+1</f>
        <v>14</v>
      </c>
      <c r="AJ40" s="1021">
        <f ca="1">OFFSET(AJ40,0,-1)</f>
        <v>14</v>
      </c>
      <c r="AK40" s="1224">
        <f ca="1">OFFSET(AK40,0,-1)+1</f>
        <v>15</v>
      </c>
      <c r="AL40" s="379"/>
      <c r="AM40" s="379"/>
      <c r="AN40" s="379"/>
      <c r="AO40" s="379"/>
      <c r="AP40" s="379"/>
    </row>
    <row r="41" spans="1:42" ht="23.25" customHeight="1">
      <c r="A41" s="1143" t="s">
        <v>160</v>
      </c>
      <c r="B41" s="1143"/>
      <c r="C41" s="1143"/>
      <c r="D41" s="1143"/>
      <c r="E41" s="2111">
        <v>1</v>
      </c>
      <c r="F41" s="1143"/>
      <c r="G41" s="1143"/>
      <c r="H41" s="1143"/>
      <c r="I41" s="1143"/>
      <c r="J41" s="1143"/>
      <c r="K41" s="1143"/>
      <c r="L41" s="1144"/>
      <c r="M41" s="1145"/>
      <c r="N41" s="1145"/>
      <c r="O41" s="1145"/>
      <c r="P41" s="242"/>
      <c r="Q41" s="241"/>
      <c r="R41" s="236"/>
      <c r="S41" s="1230">
        <f>INDEX(PT_DIFFERENTIATION_NUM_NTAR,MATCH(A41,PT_DIFFERENTIATION_NTAR_ID,0))</f>
        <v>0</v>
      </c>
      <c r="T41" s="173" t="s">
        <v>61</v>
      </c>
      <c r="U41" s="175"/>
      <c r="V41" s="2104"/>
      <c r="W41" s="2105"/>
      <c r="X41" s="2105"/>
      <c r="Y41" s="2105"/>
      <c r="Z41" s="2105"/>
      <c r="AA41" s="2105"/>
      <c r="AB41" s="2106"/>
      <c r="AC41" s="2104" t="str">
        <f>INDEX(PT_DIFFERENTIATION_NTAR,MATCH(A41,PT_DIFFERENTIATION_NTAR_ID,0))</f>
        <v/>
      </c>
      <c r="AD41" s="2105"/>
      <c r="AE41" s="2105"/>
      <c r="AF41" s="2105"/>
      <c r="AG41" s="2105"/>
      <c r="AH41" s="2105"/>
      <c r="AI41" s="2105"/>
      <c r="AJ41" s="2106"/>
      <c r="AK41"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68"/>
      <c r="AN41" s="368" t="str">
        <f t="shared" ref="AN41:AN53" si="1">IF(T41="","",T41)</f>
        <v>Наименование тарифа</v>
      </c>
      <c r="AO41" s="368"/>
      <c r="AP41" s="368"/>
    </row>
    <row r="42" spans="1:42" ht="23.25" customHeight="1">
      <c r="A42" s="1143" t="s">
        <v>160</v>
      </c>
      <c r="B42" s="1143" t="s">
        <v>161</v>
      </c>
      <c r="C42" s="1143"/>
      <c r="D42" s="1143"/>
      <c r="E42" s="2112"/>
      <c r="F42" s="2111">
        <v>1</v>
      </c>
      <c r="G42" s="1143"/>
      <c r="H42" s="1143"/>
      <c r="I42" s="1143"/>
      <c r="J42" s="1143"/>
      <c r="K42" s="1143"/>
      <c r="L42" s="1144"/>
      <c r="M42" s="1145"/>
      <c r="N42" s="1145"/>
      <c r="O42" s="1145"/>
      <c r="P42" s="1226"/>
      <c r="Q42" s="233"/>
      <c r="R42" s="234"/>
      <c r="S42" s="1230" t="str">
        <f>INDEX(PT_DIFFERENTIATION_NUM_TER,MATCH(B42,PT_DIFFERENTIATION_TER_ID,0))</f>
        <v>.</v>
      </c>
      <c r="T42" s="185" t="s">
        <v>323</v>
      </c>
      <c r="U42" s="175"/>
      <c r="V42" s="2104"/>
      <c r="W42" s="2105"/>
      <c r="X42" s="2105"/>
      <c r="Y42" s="2105"/>
      <c r="Z42" s="2105"/>
      <c r="AA42" s="2105"/>
      <c r="AB42" s="2106"/>
      <c r="AC42" s="2104" t="str">
        <f>INDEX(PT_DIFFERENTIATION_TER,MATCH(B42,PT_DIFFERENTIATION_TER_ID,0))</f>
        <v/>
      </c>
      <c r="AD42" s="2105"/>
      <c r="AE42" s="2105"/>
      <c r="AF42" s="2105"/>
      <c r="AG42" s="2105"/>
      <c r="AH42" s="2105"/>
      <c r="AI42" s="2105"/>
      <c r="AJ42" s="2106"/>
      <c r="AK42" s="1044" t="s">
        <v>324</v>
      </c>
      <c r="AM42" s="368"/>
      <c r="AN42" s="368" t="str">
        <f t="shared" si="1"/>
        <v>Территория действия тарифа</v>
      </c>
      <c r="AO42" s="368"/>
      <c r="AP42" s="368"/>
    </row>
    <row r="43" spans="1:42" ht="23.25" customHeight="1">
      <c r="A43" s="1143" t="s">
        <v>160</v>
      </c>
      <c r="B43" s="1143" t="s">
        <v>161</v>
      </c>
      <c r="C43" s="1143" t="s">
        <v>162</v>
      </c>
      <c r="D43" s="1143"/>
      <c r="E43" s="2112"/>
      <c r="F43" s="2112"/>
      <c r="G43" s="2111">
        <v>1</v>
      </c>
      <c r="H43" s="1143"/>
      <c r="I43" s="1143"/>
      <c r="J43" s="1143"/>
      <c r="K43" s="1143"/>
      <c r="L43" s="1144"/>
      <c r="M43" s="1145"/>
      <c r="N43" s="1145"/>
      <c r="O43" s="1145"/>
      <c r="P43" s="235"/>
      <c r="Q43" s="233"/>
      <c r="R43" s="234"/>
      <c r="S43" s="1230" t="str">
        <f>INDEX(PT_DIFFERENTIATION_NUM_CS,MATCH(C43,PT_DIFFERENTIATION_CS_ID,0))</f>
        <v>..</v>
      </c>
      <c r="T43" s="186" t="s">
        <v>407</v>
      </c>
      <c r="U43" s="175"/>
      <c r="V43" s="2104"/>
      <c r="W43" s="2105"/>
      <c r="X43" s="2105"/>
      <c r="Y43" s="2105"/>
      <c r="Z43" s="2105"/>
      <c r="AA43" s="2105"/>
      <c r="AB43" s="2106"/>
      <c r="AC43" s="2104" t="str">
        <f>INDEX(PT_DIFFERENTIATION_CS,MATCH(C43,PT_DIFFERENTIATION_CS_ID,0))</f>
        <v/>
      </c>
      <c r="AD43" s="2105"/>
      <c r="AE43" s="2105"/>
      <c r="AF43" s="2105"/>
      <c r="AG43" s="2105"/>
      <c r="AH43" s="2105"/>
      <c r="AI43" s="2105"/>
      <c r="AJ43" s="2106"/>
      <c r="AK43" s="1044" t="s">
        <v>408</v>
      </c>
      <c r="AM43" s="368"/>
      <c r="AN43" s="368" t="str">
        <f t="shared" si="1"/>
        <v>Наименование централизованной системы холодного водоснабжения</v>
      </c>
      <c r="AO43" s="368"/>
      <c r="AP43" s="368"/>
    </row>
    <row r="44" spans="1:42" ht="23.25" customHeight="1">
      <c r="A44" s="1143" t="s">
        <v>160</v>
      </c>
      <c r="B44" s="1143" t="s">
        <v>161</v>
      </c>
      <c r="C44" s="1143" t="s">
        <v>162</v>
      </c>
      <c r="D44" s="1143" t="s">
        <v>423</v>
      </c>
      <c r="E44" s="2112"/>
      <c r="F44" s="2112"/>
      <c r="G44" s="2112"/>
      <c r="H44" s="2112"/>
      <c r="I44" s="2113" t="str">
        <f>S43&amp;".1"</f>
        <v>...1</v>
      </c>
      <c r="J44" s="1143"/>
      <c r="K44" s="1143"/>
      <c r="L44" s="1144"/>
      <c r="P44" s="2115">
        <v>1</v>
      </c>
      <c r="Q44" s="1223"/>
      <c r="R44" s="237"/>
      <c r="S44" s="1230" t="str">
        <f>$I44</f>
        <v>...1</v>
      </c>
      <c r="T44" s="161" t="s">
        <v>409</v>
      </c>
      <c r="U44" s="175"/>
      <c r="V44" s="2171"/>
      <c r="W44" s="2172"/>
      <c r="X44" s="2172"/>
      <c r="Y44" s="2172"/>
      <c r="Z44" s="2172"/>
      <c r="AA44" s="2172"/>
      <c r="AB44" s="2173"/>
      <c r="AC44" s="2174"/>
      <c r="AD44" s="2175"/>
      <c r="AE44" s="2175"/>
      <c r="AF44" s="2175"/>
      <c r="AG44" s="2175"/>
      <c r="AH44" s="2175"/>
      <c r="AI44" s="2175"/>
      <c r="AJ44" s="2176"/>
      <c r="AK44" s="1044" t="s">
        <v>410</v>
      </c>
      <c r="AM44" s="368"/>
      <c r="AN44" s="368" t="str">
        <f t="shared" si="1"/>
        <v>Наименование признака дифференциации</v>
      </c>
      <c r="AO44" s="368"/>
      <c r="AP44" s="368"/>
    </row>
    <row r="45" spans="1:42" ht="23.25" customHeight="1">
      <c r="A45" s="1143" t="s">
        <v>160</v>
      </c>
      <c r="B45" s="1143" t="s">
        <v>161</v>
      </c>
      <c r="C45" s="1143" t="s">
        <v>162</v>
      </c>
      <c r="D45" s="1143" t="s">
        <v>423</v>
      </c>
      <c r="E45" s="2112"/>
      <c r="F45" s="2112"/>
      <c r="G45" s="2112"/>
      <c r="H45" s="2112"/>
      <c r="I45" s="2114"/>
      <c r="J45" s="2113" t="str">
        <f>I44&amp;".1"</f>
        <v>...1.1</v>
      </c>
      <c r="K45" s="1143"/>
      <c r="L45" s="1144" t="s">
        <v>332</v>
      </c>
      <c r="P45" s="2115"/>
      <c r="Q45" s="2115">
        <v>1</v>
      </c>
      <c r="R45" s="238"/>
      <c r="S45" s="1230" t="str">
        <f>$J45</f>
        <v>...1.1</v>
      </c>
      <c r="T45" s="162" t="s">
        <v>333</v>
      </c>
      <c r="U45" s="175"/>
      <c r="V45" s="2098"/>
      <c r="W45" s="2099"/>
      <c r="X45" s="2099"/>
      <c r="Y45" s="2099"/>
      <c r="Z45" s="2099"/>
      <c r="AA45" s="2099"/>
      <c r="AB45" s="2100"/>
      <c r="AC45" s="2098"/>
      <c r="AD45" s="2099"/>
      <c r="AE45" s="2099"/>
      <c r="AF45" s="2099"/>
      <c r="AG45" s="2099"/>
      <c r="AH45" s="2099"/>
      <c r="AI45" s="2099"/>
      <c r="AJ45" s="2100"/>
      <c r="AK45" s="1090" t="s">
        <v>411</v>
      </c>
      <c r="AM45" s="368"/>
      <c r="AN45" s="368" t="str">
        <f t="shared" si="1"/>
        <v>Группа потребителей</v>
      </c>
      <c r="AO45" s="368"/>
      <c r="AP45" s="368"/>
    </row>
    <row r="46" spans="1:42" ht="23.25" customHeight="1">
      <c r="A46" s="1143" t="s">
        <v>160</v>
      </c>
      <c r="B46" s="1143" t="s">
        <v>161</v>
      </c>
      <c r="C46" s="1143" t="s">
        <v>162</v>
      </c>
      <c r="D46" s="1143" t="s">
        <v>423</v>
      </c>
      <c r="E46" s="2112"/>
      <c r="F46" s="2112"/>
      <c r="G46" s="2112"/>
      <c r="H46" s="2112"/>
      <c r="I46" s="2114"/>
      <c r="J46" s="2114"/>
      <c r="K46" s="2113" t="str">
        <f>J45&amp;".1"</f>
        <v>...1.1.1</v>
      </c>
      <c r="L46" s="1144"/>
      <c r="P46" s="2115"/>
      <c r="Q46" s="2115"/>
      <c r="R46" s="238">
        <v>1</v>
      </c>
      <c r="S46" s="1230" t="str">
        <f>$K46</f>
        <v>...1.1.1</v>
      </c>
      <c r="T46" s="1212"/>
      <c r="U46" s="175"/>
      <c r="V46" s="576"/>
      <c r="W46" s="576"/>
      <c r="X46" s="1043"/>
      <c r="Y46" s="2116"/>
      <c r="Z46" s="2109" t="s">
        <v>16</v>
      </c>
      <c r="AA46" s="2116"/>
      <c r="AB46" s="2109" t="s">
        <v>16</v>
      </c>
      <c r="AC46" s="576"/>
      <c r="AD46" s="576"/>
      <c r="AE46" s="1043"/>
      <c r="AF46" s="2116"/>
      <c r="AG46" s="2109" t="s">
        <v>16</v>
      </c>
      <c r="AH46" s="2118"/>
      <c r="AI46" s="2109" t="s">
        <v>16</v>
      </c>
      <c r="AJ46" s="1213"/>
      <c r="AK46"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79" t="e">
        <f ca="1">STRCHECKDATE(V47:AJ47)</f>
        <v>#NAME?</v>
      </c>
      <c r="AM46" s="368"/>
      <c r="AN46" s="368" t="str">
        <f t="shared" si="1"/>
        <v/>
      </c>
      <c r="AO46" s="368"/>
      <c r="AP46" s="368"/>
    </row>
    <row r="47" spans="1:42" ht="0" hidden="1" customHeight="1">
      <c r="A47" s="1143" t="s">
        <v>160</v>
      </c>
      <c r="B47" s="1143" t="s">
        <v>161</v>
      </c>
      <c r="C47" s="1143" t="s">
        <v>162</v>
      </c>
      <c r="D47" s="1143" t="s">
        <v>423</v>
      </c>
      <c r="E47" s="2112"/>
      <c r="F47" s="2112"/>
      <c r="G47" s="2112"/>
      <c r="H47" s="2112"/>
      <c r="I47" s="2114"/>
      <c r="J47" s="2114"/>
      <c r="K47" s="2113"/>
      <c r="L47" s="1144"/>
      <c r="P47" s="2115"/>
      <c r="Q47" s="2115"/>
      <c r="R47" s="238"/>
      <c r="S47" s="1229"/>
      <c r="T47" s="175"/>
      <c r="U47" s="175"/>
      <c r="V47" s="207"/>
      <c r="W47" s="207"/>
      <c r="X47" s="211" t="str">
        <f>Y46&amp;"-"&amp;AA46</f>
        <v>-</v>
      </c>
      <c r="Y47" s="2117"/>
      <c r="Z47" s="2109"/>
      <c r="AA47" s="2117"/>
      <c r="AB47" s="2109"/>
      <c r="AC47" s="207"/>
      <c r="AD47" s="207"/>
      <c r="AE47" s="211" t="str">
        <f>AF46&amp;"-"&amp;AH46</f>
        <v>-</v>
      </c>
      <c r="AF47" s="2117"/>
      <c r="AG47" s="2109"/>
      <c r="AH47" s="2119"/>
      <c r="AI47" s="2109"/>
      <c r="AJ47" s="1214"/>
      <c r="AK47" s="2177"/>
      <c r="AM47" s="368"/>
      <c r="AN47" s="368" t="str">
        <f t="shared" si="1"/>
        <v/>
      </c>
      <c r="AO47" s="368"/>
      <c r="AP47" s="368"/>
    </row>
    <row r="48" spans="1:42" ht="21" customHeight="1">
      <c r="A48" s="1143" t="s">
        <v>160</v>
      </c>
      <c r="B48" s="1143" t="s">
        <v>161</v>
      </c>
      <c r="C48" s="1143" t="s">
        <v>162</v>
      </c>
      <c r="D48" s="1143" t="s">
        <v>423</v>
      </c>
      <c r="E48" s="2112"/>
      <c r="F48" s="2112"/>
      <c r="G48" s="2112"/>
      <c r="H48" s="2112"/>
      <c r="I48" s="2114"/>
      <c r="J48" s="2113"/>
      <c r="K48" s="1143"/>
      <c r="L48" s="1144"/>
      <c r="P48" s="2115"/>
      <c r="Q48" s="2115"/>
      <c r="R48" s="237"/>
      <c r="S48" s="1062"/>
      <c r="T48" s="163" t="s">
        <v>412</v>
      </c>
      <c r="U48" s="251"/>
      <c r="V48" s="251"/>
      <c r="W48" s="251"/>
      <c r="X48" s="251"/>
      <c r="Y48" s="251"/>
      <c r="Z48" s="251"/>
      <c r="AA48" s="251"/>
      <c r="AB48" s="251"/>
      <c r="AC48" s="251"/>
      <c r="AD48" s="251"/>
      <c r="AE48" s="251"/>
      <c r="AF48" s="251"/>
      <c r="AG48" s="251"/>
      <c r="AH48" s="251"/>
      <c r="AI48" s="251"/>
      <c r="AJ48" s="251"/>
      <c r="AK48" s="1044" t="s">
        <v>413</v>
      </c>
      <c r="AM48" s="368"/>
      <c r="AN48" s="368" t="str">
        <f t="shared" si="1"/>
        <v>Добавить значение признака дифференциации</v>
      </c>
      <c r="AO48" s="368"/>
      <c r="AP48" s="368"/>
    </row>
    <row r="49" spans="1:42" ht="21" customHeight="1">
      <c r="A49" s="1143" t="s">
        <v>160</v>
      </c>
      <c r="B49" s="1143" t="s">
        <v>161</v>
      </c>
      <c r="C49" s="1143" t="s">
        <v>162</v>
      </c>
      <c r="D49" s="1143" t="s">
        <v>423</v>
      </c>
      <c r="E49" s="2112"/>
      <c r="F49" s="2112"/>
      <c r="G49" s="2112"/>
      <c r="H49" s="2112"/>
      <c r="I49" s="2113"/>
      <c r="J49" s="1143"/>
      <c r="K49" s="1143"/>
      <c r="L49" s="1144"/>
      <c r="P49" s="2115"/>
      <c r="Q49" s="1223"/>
      <c r="R49" s="237"/>
      <c r="S49" s="1062"/>
      <c r="T49" s="248" t="s">
        <v>338</v>
      </c>
      <c r="U49" s="251"/>
      <c r="V49" s="251"/>
      <c r="W49" s="251"/>
      <c r="X49" s="251"/>
      <c r="Y49" s="251"/>
      <c r="Z49" s="251"/>
      <c r="AA49" s="251"/>
      <c r="AB49" s="250"/>
      <c r="AC49" s="251"/>
      <c r="AD49" s="251"/>
      <c r="AE49" s="251"/>
      <c r="AF49" s="251"/>
      <c r="AG49" s="251"/>
      <c r="AH49" s="251"/>
      <c r="AI49" s="250"/>
      <c r="AJ49" s="251"/>
      <c r="AK49" s="1215"/>
      <c r="AM49" s="368"/>
      <c r="AN49" s="368" t="str">
        <f t="shared" si="1"/>
        <v>Добавить группу потребителей</v>
      </c>
      <c r="AO49" s="368"/>
      <c r="AP49" s="368"/>
    </row>
    <row r="50" spans="1:42" ht="21" customHeight="1">
      <c r="A50" s="1143" t="s">
        <v>160</v>
      </c>
      <c r="B50" s="1143" t="s">
        <v>161</v>
      </c>
      <c r="C50" s="1143" t="s">
        <v>162</v>
      </c>
      <c r="D50" s="1143" t="s">
        <v>423</v>
      </c>
      <c r="E50" s="2112"/>
      <c r="F50" s="2112"/>
      <c r="G50" s="2112"/>
      <c r="H50" s="2111"/>
      <c r="I50" s="1143"/>
      <c r="J50" s="1143"/>
      <c r="K50" s="1143"/>
      <c r="L50" s="1144"/>
      <c r="M50" s="1145"/>
      <c r="N50" s="1145"/>
      <c r="O50" s="395"/>
      <c r="P50" s="241"/>
      <c r="Q50" s="260"/>
      <c r="R50" s="236"/>
      <c r="S50" s="1062"/>
      <c r="T50" s="256" t="s">
        <v>414</v>
      </c>
      <c r="U50" s="251"/>
      <c r="V50" s="251"/>
      <c r="W50" s="251"/>
      <c r="X50" s="251"/>
      <c r="Y50" s="251"/>
      <c r="Z50" s="251"/>
      <c r="AA50" s="251"/>
      <c r="AB50" s="250"/>
      <c r="AC50" s="251"/>
      <c r="AD50" s="251"/>
      <c r="AE50" s="251"/>
      <c r="AF50" s="251"/>
      <c r="AG50" s="251"/>
      <c r="AH50" s="251"/>
      <c r="AI50" s="250"/>
      <c r="AJ50" s="251"/>
      <c r="AK50" s="178"/>
      <c r="AM50" s="368"/>
      <c r="AN50" s="368" t="str">
        <f t="shared" si="1"/>
        <v>Добавить наименование признака дифференциации</v>
      </c>
      <c r="AO50" s="368"/>
      <c r="AP50" s="368"/>
    </row>
    <row r="51" spans="1:42" s="1686" customFormat="1" ht="0" hidden="1" customHeight="1">
      <c r="A51" s="1124" t="s">
        <v>160</v>
      </c>
      <c r="B51" s="1124" t="s">
        <v>161</v>
      </c>
      <c r="C51" s="1096"/>
      <c r="D51" s="1096"/>
      <c r="E51" s="2112"/>
      <c r="F51" s="2111"/>
      <c r="G51" s="1096"/>
      <c r="H51" s="1096"/>
      <c r="I51" s="1096"/>
      <c r="J51" s="1096"/>
      <c r="K51" s="1096"/>
      <c r="L51" s="1231"/>
      <c r="M51" s="1103"/>
      <c r="N51" s="1103"/>
      <c r="P51" s="1098"/>
      <c r="Q51" s="1099"/>
      <c r="R51" s="1098"/>
      <c r="S51" s="1104"/>
      <c r="T51" s="1107" t="s">
        <v>341</v>
      </c>
      <c r="U51" s="1106"/>
      <c r="V51" s="1106"/>
      <c r="W51" s="1106"/>
      <c r="X51" s="1106"/>
      <c r="Y51" s="1106"/>
      <c r="Z51" s="1106"/>
      <c r="AA51" s="1106"/>
      <c r="AB51" s="1106"/>
      <c r="AC51" s="1106"/>
      <c r="AD51" s="1106"/>
      <c r="AE51" s="1106"/>
      <c r="AF51" s="1106"/>
      <c r="AG51" s="1106"/>
      <c r="AH51" s="1106"/>
      <c r="AI51" s="1106"/>
      <c r="AJ51" s="1106"/>
      <c r="AK51" s="1106"/>
      <c r="AM51" s="598"/>
      <c r="AN51" s="598" t="str">
        <f t="shared" si="1"/>
        <v>Добавить централизованную систему для дифференциации</v>
      </c>
      <c r="AO51" s="598"/>
      <c r="AP51" s="598"/>
    </row>
    <row r="52" spans="1:42" s="1622" customFormat="1" ht="0" hidden="1" customHeight="1">
      <c r="A52" s="1124" t="s">
        <v>160</v>
      </c>
      <c r="B52" s="1124"/>
      <c r="C52" s="1124"/>
      <c r="D52" s="1124"/>
      <c r="E52" s="2111"/>
      <c r="F52" s="1124"/>
      <c r="G52" s="1124"/>
      <c r="H52" s="1124"/>
      <c r="I52" s="1124"/>
      <c r="J52" s="1124"/>
      <c r="K52" s="1124"/>
      <c r="L52" s="1127"/>
      <c r="M52" s="1103"/>
      <c r="N52" s="1103"/>
      <c r="O52" s="386"/>
      <c r="P52" s="269"/>
      <c r="Q52" s="1125"/>
      <c r="R52" s="269"/>
      <c r="S52" s="1104"/>
      <c r="T52" s="1107" t="s">
        <v>342</v>
      </c>
      <c r="U52" s="1106"/>
      <c r="V52" s="1106"/>
      <c r="W52" s="1106"/>
      <c r="X52" s="1106"/>
      <c r="Y52" s="1106"/>
      <c r="Z52" s="1106"/>
      <c r="AA52" s="1106"/>
      <c r="AB52" s="1106"/>
      <c r="AC52" s="1106"/>
      <c r="AD52" s="1106"/>
      <c r="AE52" s="1106"/>
      <c r="AF52" s="1106"/>
      <c r="AG52" s="1106"/>
      <c r="AH52" s="1106"/>
      <c r="AI52" s="1106"/>
      <c r="AJ52" s="1106"/>
      <c r="AK52" s="1106"/>
      <c r="AM52" s="368"/>
      <c r="AN52" s="368" t="str">
        <f t="shared" si="1"/>
        <v>Добавить территорию для дифференциации</v>
      </c>
      <c r="AO52" s="368"/>
      <c r="AP52" s="368"/>
    </row>
    <row r="53" spans="1:42" s="1686" customFormat="1" ht="0" hidden="1" customHeight="1">
      <c r="A53" s="1096"/>
      <c r="B53" s="1096"/>
      <c r="C53" s="1096"/>
      <c r="D53" s="1096"/>
      <c r="E53" s="1124"/>
      <c r="F53" s="1096"/>
      <c r="G53" s="1096"/>
      <c r="H53" s="1096"/>
      <c r="I53" s="1096"/>
      <c r="J53" s="1096"/>
      <c r="K53" s="1096"/>
      <c r="L53" s="1231"/>
      <c r="M53" s="1103"/>
      <c r="N53" s="1103"/>
      <c r="P53" s="1098"/>
      <c r="Q53" s="1099"/>
      <c r="R53" s="1098"/>
      <c r="S53" s="1104"/>
      <c r="T53" s="1107" t="s">
        <v>374</v>
      </c>
      <c r="U53" s="1106"/>
      <c r="V53" s="1106"/>
      <c r="W53" s="1106"/>
      <c r="X53" s="1106"/>
      <c r="Y53" s="1106"/>
      <c r="Z53" s="1106"/>
      <c r="AA53" s="1106"/>
      <c r="AB53" s="1106"/>
      <c r="AC53" s="1106"/>
      <c r="AD53" s="1106"/>
      <c r="AE53" s="1106"/>
      <c r="AF53" s="1106"/>
      <c r="AG53" s="1106"/>
      <c r="AH53" s="1106"/>
      <c r="AI53" s="1106"/>
      <c r="AJ53" s="1106"/>
      <c r="AK53" s="1106"/>
      <c r="AM53" s="598"/>
      <c r="AN53" s="598" t="str">
        <f t="shared" si="1"/>
        <v>Добавить наименование тарифа</v>
      </c>
      <c r="AO53" s="598"/>
      <c r="AP53" s="598"/>
    </row>
    <row r="54" spans="1:42" ht="11.25" customHeight="1">
      <c r="M54" s="929"/>
      <c r="N54" s="929"/>
      <c r="O54" s="395"/>
      <c r="P54" s="924"/>
      <c r="Q54" s="924"/>
      <c r="R54" s="924"/>
      <c r="S54" s="924"/>
      <c r="AL54" s="924"/>
      <c r="AM54" s="924"/>
      <c r="AN54" s="924"/>
      <c r="AO54" s="924"/>
      <c r="AP54" s="924"/>
    </row>
    <row r="55" spans="1:42" ht="14.25" customHeight="1">
      <c r="O55" s="395"/>
      <c r="S55" s="1031"/>
      <c r="T55" s="2110"/>
      <c r="U55" s="2110"/>
      <c r="V55" s="2110"/>
      <c r="W55" s="2110"/>
      <c r="X55" s="2110"/>
      <c r="Y55" s="2110"/>
      <c r="Z55" s="2110"/>
      <c r="AA55" s="2110"/>
      <c r="AB55" s="2110"/>
      <c r="AC55" s="2110"/>
      <c r="AD55" s="2110"/>
      <c r="AE55" s="2110"/>
      <c r="AF55" s="2110"/>
      <c r="AG55" s="2110"/>
      <c r="AH55" s="2110"/>
      <c r="AI55" s="2110"/>
      <c r="AJ55" s="2110"/>
      <c r="AK55" s="2110"/>
    </row>
    <row r="56" spans="1:42" ht="14.25" customHeight="1">
      <c r="O56" s="395"/>
    </row>
    <row r="57" spans="1:42" ht="14.25" customHeight="1">
      <c r="O57" s="395"/>
      <c r="S57" s="1031"/>
      <c r="T57" s="2110"/>
      <c r="U57" s="2110"/>
      <c r="V57" s="2110"/>
      <c r="W57" s="2110"/>
      <c r="X57" s="2110"/>
      <c r="Y57" s="2110"/>
      <c r="Z57" s="2110"/>
      <c r="AA57" s="2110"/>
      <c r="AB57" s="2110"/>
      <c r="AC57" s="2110"/>
      <c r="AD57" s="2110"/>
      <c r="AE57" s="2110"/>
      <c r="AF57" s="2110"/>
      <c r="AG57" s="2110"/>
      <c r="AH57" s="2110"/>
      <c r="AI57" s="2110"/>
      <c r="AJ57" s="2110"/>
      <c r="AK57" s="211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687" hidden="1"/>
    <col min="2" max="2" width="11" style="1687" hidden="1" customWidth="1"/>
    <col min="3" max="3" width="10.5703125" style="1687" hidden="1"/>
    <col min="4" max="4" width="11.85546875" style="1687" hidden="1" customWidth="1"/>
    <col min="5" max="5" width="10" style="1687" hidden="1" customWidth="1"/>
    <col min="6" max="6" width="8.7109375" style="1687" hidden="1" customWidth="1"/>
    <col min="7" max="7" width="7.5703125" style="1687" hidden="1" customWidth="1"/>
    <col min="8" max="8" width="11.42578125" style="1687" hidden="1" customWidth="1"/>
    <col min="9" max="9" width="14.140625" style="1687" hidden="1" customWidth="1"/>
    <col min="10" max="10" width="9.85546875" style="1687" hidden="1" customWidth="1"/>
    <col min="11" max="11" width="14.7109375" style="1687" hidden="1" customWidth="1"/>
    <col min="12" max="12" width="19.140625" style="1703" hidden="1" customWidth="1"/>
    <col min="13" max="14" width="12.28515625" style="1689" hidden="1" customWidth="1"/>
    <col min="15" max="15" width="23.42578125" style="1689" hidden="1" customWidth="1"/>
    <col min="16" max="16" width="3.7109375" style="1704" customWidth="1"/>
    <col min="17" max="18" width="3.7109375" style="1695" customWidth="1"/>
    <col min="19" max="19" width="12.7109375" style="1696" customWidth="1"/>
    <col min="20" max="20" width="35.7109375" style="1661" customWidth="1"/>
    <col min="21" max="21" width="0.140625" style="1661" customWidth="1"/>
    <col min="22" max="24" width="24.7109375" style="1661" hidden="1" customWidth="1"/>
    <col min="25" max="25" width="11.7109375" style="1661" hidden="1" customWidth="1"/>
    <col min="26" max="26" width="3.7109375" style="1661" hidden="1" customWidth="1"/>
    <col min="27" max="27" width="11.7109375" style="1661" hidden="1" customWidth="1"/>
    <col min="28" max="28" width="8.5703125" style="1661" hidden="1" customWidth="1"/>
    <col min="29" max="31" width="24.7109375" style="1661" customWidth="1"/>
    <col min="32" max="32" width="11.7109375" style="1661" customWidth="1"/>
    <col min="33" max="33" width="3.7109375" style="1661" customWidth="1"/>
    <col min="34" max="34" width="11.7109375" style="1661" customWidth="1"/>
    <col min="35" max="35" width="8.5703125" style="1661" hidden="1" customWidth="1"/>
    <col min="36" max="36" width="4.7109375" style="1661" customWidth="1"/>
    <col min="37" max="37" width="115.7109375" style="1661" customWidth="1"/>
    <col min="38" max="39" width="10.5703125" style="1622"/>
    <col min="40" max="40" width="11.140625" style="1622" customWidth="1"/>
    <col min="41" max="42" width="10.5703125" style="1622"/>
  </cols>
  <sheetData>
    <row r="1" spans="1:42" ht="14.25" hidden="1" customHeight="1">
      <c r="X1" s="210"/>
      <c r="Y1" s="210"/>
      <c r="AE1" s="210"/>
      <c r="AF1" s="210"/>
    </row>
    <row r="2" spans="1:42" ht="23.25" hidden="1" customHeight="1">
      <c r="A2" s="1143"/>
      <c r="B2" s="1143"/>
      <c r="C2" s="1143"/>
      <c r="D2" s="1143"/>
      <c r="E2" s="2111">
        <v>1</v>
      </c>
      <c r="F2" s="1143"/>
      <c r="G2" s="1143"/>
      <c r="H2" s="1143"/>
      <c r="I2" s="1143"/>
      <c r="J2" s="1143"/>
      <c r="K2" s="1143"/>
      <c r="L2" s="1144"/>
      <c r="M2" s="1145"/>
      <c r="N2" s="1145"/>
      <c r="O2" s="1145"/>
      <c r="P2" s="242"/>
      <c r="Q2" s="241"/>
      <c r="R2" s="236"/>
      <c r="S2" s="1230" t="e">
        <f>INDEX(PT_DIFFERENTIATION_NUM_NTAR,MATCH(A2,PT_DIFFERENTIATION_NTAR_ID,0))</f>
        <v>#N/A</v>
      </c>
      <c r="T2" s="173" t="s">
        <v>61</v>
      </c>
      <c r="U2" s="175"/>
      <c r="V2" s="2104"/>
      <c r="W2" s="2105"/>
      <c r="X2" s="2105"/>
      <c r="Y2" s="2105"/>
      <c r="Z2" s="2105"/>
      <c r="AA2" s="2105"/>
      <c r="AB2" s="2106"/>
      <c r="AC2" s="2104" t="e">
        <f>INDEX(PT_DIFFERENTIATION_NTAR,MATCH(A2,PT_DIFFERENTIATION_NTAR_ID,0))</f>
        <v>#N/A</v>
      </c>
      <c r="AD2" s="2105"/>
      <c r="AE2" s="2105"/>
      <c r="AF2" s="2105"/>
      <c r="AG2" s="2105"/>
      <c r="AH2" s="2105"/>
      <c r="AI2" s="2105"/>
      <c r="AJ2" s="2106"/>
      <c r="AK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68"/>
      <c r="AN2" s="368" t="str">
        <f t="shared" ref="AN2:AN13" si="0">IF(T2="","",T2)</f>
        <v>Наименование тарифа</v>
      </c>
      <c r="AO2" s="368"/>
      <c r="AP2" s="368"/>
    </row>
    <row r="3" spans="1:42" ht="23.25" hidden="1" customHeight="1">
      <c r="A3" s="1143"/>
      <c r="B3" s="1143"/>
      <c r="C3" s="1143"/>
      <c r="D3" s="1143"/>
      <c r="E3" s="2112"/>
      <c r="F3" s="2111">
        <v>1</v>
      </c>
      <c r="G3" s="1143"/>
      <c r="H3" s="1143"/>
      <c r="I3" s="1143"/>
      <c r="J3" s="1143"/>
      <c r="K3" s="1143"/>
      <c r="L3" s="1144"/>
      <c r="M3" s="1145"/>
      <c r="N3" s="1145"/>
      <c r="O3" s="1145"/>
      <c r="P3" s="1226"/>
      <c r="Q3" s="233"/>
      <c r="R3" s="234"/>
      <c r="S3" s="1230" t="e">
        <f>INDEX(PT_DIFFERENTIATION_NUM_TER,MATCH(B3,PT_DIFFERENTIATION_TER_ID,0))</f>
        <v>#N/A</v>
      </c>
      <c r="T3" s="185" t="s">
        <v>323</v>
      </c>
      <c r="U3" s="175"/>
      <c r="V3" s="2104"/>
      <c r="W3" s="2105"/>
      <c r="X3" s="2105"/>
      <c r="Y3" s="2105"/>
      <c r="Z3" s="2105"/>
      <c r="AA3" s="2105"/>
      <c r="AB3" s="2106"/>
      <c r="AC3" s="2104" t="e">
        <f>INDEX(PT_DIFFERENTIATION_TER,MATCH(B3,PT_DIFFERENTIATION_TER_ID,0))</f>
        <v>#N/A</v>
      </c>
      <c r="AD3" s="2105"/>
      <c r="AE3" s="2105"/>
      <c r="AF3" s="2105"/>
      <c r="AG3" s="2105"/>
      <c r="AH3" s="2105"/>
      <c r="AI3" s="2105"/>
      <c r="AJ3" s="2106"/>
      <c r="AK3" s="1044" t="s">
        <v>324</v>
      </c>
      <c r="AM3" s="368"/>
      <c r="AN3" s="368" t="str">
        <f t="shared" si="0"/>
        <v>Территория действия тарифа</v>
      </c>
      <c r="AO3" s="368"/>
      <c r="AP3" s="368"/>
    </row>
    <row r="4" spans="1:42" ht="23.25" hidden="1" customHeight="1">
      <c r="A4" s="1143"/>
      <c r="B4" s="1143"/>
      <c r="C4" s="1143"/>
      <c r="D4" s="1143"/>
      <c r="E4" s="2112"/>
      <c r="F4" s="2112"/>
      <c r="G4" s="2111">
        <v>1</v>
      </c>
      <c r="H4" s="1143"/>
      <c r="I4" s="1143"/>
      <c r="J4" s="1143"/>
      <c r="K4" s="1143"/>
      <c r="L4" s="1144"/>
      <c r="M4" s="1145"/>
      <c r="N4" s="1145"/>
      <c r="O4" s="1145"/>
      <c r="P4" s="235"/>
      <c r="Q4" s="233"/>
      <c r="R4" s="234"/>
      <c r="S4" s="1230" t="e">
        <f>INDEX(PT_DIFFERENTIATION_NUM_CS,MATCH(C4,PT_DIFFERENTIATION_CS_ID,0))</f>
        <v>#N/A</v>
      </c>
      <c r="T4" s="186" t="s">
        <v>407</v>
      </c>
      <c r="U4" s="175"/>
      <c r="V4" s="2104"/>
      <c r="W4" s="2105"/>
      <c r="X4" s="2105"/>
      <c r="Y4" s="2105"/>
      <c r="Z4" s="2105"/>
      <c r="AA4" s="2105"/>
      <c r="AB4" s="2106"/>
      <c r="AC4" s="2104" t="e">
        <f>INDEX(PT_DIFFERENTIATION_CS,MATCH(C4,PT_DIFFERENTIATION_CS_ID,0))</f>
        <v>#N/A</v>
      </c>
      <c r="AD4" s="2105"/>
      <c r="AE4" s="2105"/>
      <c r="AF4" s="2105"/>
      <c r="AG4" s="2105"/>
      <c r="AH4" s="2105"/>
      <c r="AI4" s="2105"/>
      <c r="AJ4" s="2106"/>
      <c r="AK4" s="1044" t="s">
        <v>408</v>
      </c>
      <c r="AM4" s="368"/>
      <c r="AN4" s="368" t="str">
        <f t="shared" si="0"/>
        <v>Наименование централизованной системы холодного водоснабжения</v>
      </c>
      <c r="AO4" s="368"/>
      <c r="AP4" s="368"/>
    </row>
    <row r="5" spans="1:42" ht="23.25" hidden="1" customHeight="1">
      <c r="A5" s="1143"/>
      <c r="B5" s="1143"/>
      <c r="C5" s="1143"/>
      <c r="D5" s="1143"/>
      <c r="E5" s="2112"/>
      <c r="F5" s="2112"/>
      <c r="G5" s="2112"/>
      <c r="H5" s="2112"/>
      <c r="I5" s="2113" t="e">
        <f>S4&amp;".1"</f>
        <v>#N/A</v>
      </c>
      <c r="J5" s="1143"/>
      <c r="K5" s="1143"/>
      <c r="L5" s="1144"/>
      <c r="P5" s="2115">
        <v>1</v>
      </c>
      <c r="Q5" s="1223"/>
      <c r="R5" s="237"/>
      <c r="S5" s="1230" t="e">
        <f>$I5</f>
        <v>#N/A</v>
      </c>
      <c r="T5" s="161" t="s">
        <v>409</v>
      </c>
      <c r="U5" s="175"/>
      <c r="V5" s="2171"/>
      <c r="W5" s="2172"/>
      <c r="X5" s="2172"/>
      <c r="Y5" s="2172"/>
      <c r="Z5" s="2172"/>
      <c r="AA5" s="2172"/>
      <c r="AB5" s="2173"/>
      <c r="AC5" s="2174"/>
      <c r="AD5" s="2175"/>
      <c r="AE5" s="2175"/>
      <c r="AF5" s="2175"/>
      <c r="AG5" s="2175"/>
      <c r="AH5" s="2175"/>
      <c r="AI5" s="2175"/>
      <c r="AJ5" s="2176"/>
      <c r="AK5" s="1044" t="s">
        <v>410</v>
      </c>
      <c r="AM5" s="368"/>
      <c r="AN5" s="368" t="str">
        <f t="shared" si="0"/>
        <v>Наименование признака дифференциации</v>
      </c>
      <c r="AO5" s="368"/>
      <c r="AP5" s="368"/>
    </row>
    <row r="6" spans="1:42" ht="23.25" hidden="1" customHeight="1">
      <c r="A6" s="1143"/>
      <c r="B6" s="1143"/>
      <c r="C6" s="1143"/>
      <c r="D6" s="1143"/>
      <c r="E6" s="2112"/>
      <c r="F6" s="2112"/>
      <c r="G6" s="2112"/>
      <c r="H6" s="2112"/>
      <c r="I6" s="2114"/>
      <c r="J6" s="2113" t="e">
        <f>I5&amp;".1"</f>
        <v>#N/A</v>
      </c>
      <c r="K6" s="1143"/>
      <c r="L6" s="1144" t="s">
        <v>332</v>
      </c>
      <c r="P6" s="2115"/>
      <c r="Q6" s="2115">
        <v>1</v>
      </c>
      <c r="R6" s="238"/>
      <c r="S6" s="1230" t="e">
        <f>$J6</f>
        <v>#N/A</v>
      </c>
      <c r="T6" s="162" t="s">
        <v>333</v>
      </c>
      <c r="U6" s="175"/>
      <c r="V6" s="2098"/>
      <c r="W6" s="2099"/>
      <c r="X6" s="2099"/>
      <c r="Y6" s="2099"/>
      <c r="Z6" s="2099"/>
      <c r="AA6" s="2099"/>
      <c r="AB6" s="2100"/>
      <c r="AC6" s="2098"/>
      <c r="AD6" s="2099"/>
      <c r="AE6" s="2099"/>
      <c r="AF6" s="2099"/>
      <c r="AG6" s="2099"/>
      <c r="AH6" s="2099"/>
      <c r="AI6" s="2099"/>
      <c r="AJ6" s="2100"/>
      <c r="AK6" s="1090" t="s">
        <v>411</v>
      </c>
      <c r="AM6" s="368"/>
      <c r="AN6" s="368" t="str">
        <f t="shared" si="0"/>
        <v>Группа потребителей</v>
      </c>
      <c r="AO6" s="368"/>
      <c r="AP6" s="368"/>
    </row>
    <row r="7" spans="1:42" ht="23.25" hidden="1" customHeight="1">
      <c r="A7" s="1143"/>
      <c r="B7" s="1143"/>
      <c r="C7" s="1143"/>
      <c r="D7" s="1143"/>
      <c r="E7" s="2112"/>
      <c r="F7" s="2112"/>
      <c r="G7" s="2112"/>
      <c r="H7" s="2112"/>
      <c r="I7" s="2114"/>
      <c r="J7" s="2114"/>
      <c r="K7" s="2113" t="e">
        <f>J6&amp;".1"</f>
        <v>#N/A</v>
      </c>
      <c r="L7" s="1144"/>
      <c r="P7" s="2115"/>
      <c r="Q7" s="2115"/>
      <c r="R7" s="238">
        <v>1</v>
      </c>
      <c r="S7" s="1230" t="e">
        <f>$K7</f>
        <v>#N/A</v>
      </c>
      <c r="T7" s="1212"/>
      <c r="U7" s="175"/>
      <c r="V7" s="576"/>
      <c r="W7" s="576"/>
      <c r="X7" s="1043"/>
      <c r="Y7" s="2116"/>
      <c r="Z7" s="2109" t="s">
        <v>16</v>
      </c>
      <c r="AA7" s="2116"/>
      <c r="AB7" s="2109" t="s">
        <v>16</v>
      </c>
      <c r="AC7" s="576"/>
      <c r="AD7" s="576"/>
      <c r="AE7" s="1043"/>
      <c r="AF7" s="2116"/>
      <c r="AG7" s="2109" t="s">
        <v>16</v>
      </c>
      <c r="AH7" s="2118"/>
      <c r="AI7" s="2109" t="s">
        <v>16</v>
      </c>
      <c r="AJ7" s="1213"/>
      <c r="AK7"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79" t="e">
        <f ca="1">STRCHECKDATE(V8:AJ8)</f>
        <v>#NAME?</v>
      </c>
      <c r="AM7" s="368"/>
      <c r="AN7" s="368" t="str">
        <f t="shared" si="0"/>
        <v/>
      </c>
      <c r="AO7" s="368"/>
      <c r="AP7" s="368"/>
    </row>
    <row r="8" spans="1:42" ht="14.25" hidden="1" customHeight="1">
      <c r="A8" s="1143"/>
      <c r="B8" s="1143"/>
      <c r="C8" s="1143"/>
      <c r="D8" s="1143"/>
      <c r="E8" s="2112"/>
      <c r="F8" s="2112"/>
      <c r="G8" s="2112"/>
      <c r="H8" s="2112"/>
      <c r="I8" s="2114"/>
      <c r="J8" s="2114"/>
      <c r="K8" s="2113"/>
      <c r="L8" s="1144"/>
      <c r="P8" s="2115"/>
      <c r="Q8" s="2115"/>
      <c r="R8" s="238"/>
      <c r="S8" s="1229"/>
      <c r="T8" s="175"/>
      <c r="U8" s="175"/>
      <c r="V8" s="207"/>
      <c r="W8" s="207"/>
      <c r="X8" s="211" t="str">
        <f>Y7&amp;"-"&amp;AA7</f>
        <v>-</v>
      </c>
      <c r="Y8" s="2117"/>
      <c r="Z8" s="2109"/>
      <c r="AA8" s="2117"/>
      <c r="AB8" s="2109"/>
      <c r="AC8" s="207"/>
      <c r="AD8" s="207"/>
      <c r="AE8" s="211" t="str">
        <f>AF7&amp;"-"&amp;AH7</f>
        <v>-</v>
      </c>
      <c r="AF8" s="2117"/>
      <c r="AG8" s="2109"/>
      <c r="AH8" s="2119"/>
      <c r="AI8" s="2109"/>
      <c r="AJ8" s="1214"/>
      <c r="AK8" s="2177"/>
      <c r="AM8" s="368"/>
      <c r="AN8" s="368" t="str">
        <f t="shared" si="0"/>
        <v/>
      </c>
      <c r="AO8" s="368"/>
      <c r="AP8" s="368"/>
    </row>
    <row r="9" spans="1:42" ht="21" hidden="1" customHeight="1">
      <c r="A9" s="1143"/>
      <c r="B9" s="1143"/>
      <c r="C9" s="1143"/>
      <c r="D9" s="1143"/>
      <c r="E9" s="2112"/>
      <c r="F9" s="2112"/>
      <c r="G9" s="2112"/>
      <c r="H9" s="2112"/>
      <c r="I9" s="2114"/>
      <c r="J9" s="2113"/>
      <c r="K9" s="1143"/>
      <c r="L9" s="1144"/>
      <c r="P9" s="2115"/>
      <c r="Q9" s="2115"/>
      <c r="R9" s="237"/>
      <c r="S9" s="1062"/>
      <c r="T9" s="163" t="s">
        <v>412</v>
      </c>
      <c r="U9" s="251"/>
      <c r="V9" s="251"/>
      <c r="W9" s="251"/>
      <c r="X9" s="251"/>
      <c r="Y9" s="251"/>
      <c r="Z9" s="251"/>
      <c r="AA9" s="251"/>
      <c r="AB9" s="251"/>
      <c r="AC9" s="251"/>
      <c r="AD9" s="251"/>
      <c r="AE9" s="251"/>
      <c r="AF9" s="251"/>
      <c r="AG9" s="251"/>
      <c r="AH9" s="251"/>
      <c r="AI9" s="251"/>
      <c r="AJ9" s="251"/>
      <c r="AK9" s="1044" t="s">
        <v>413</v>
      </c>
      <c r="AM9" s="368"/>
      <c r="AN9" s="368" t="str">
        <f t="shared" si="0"/>
        <v>Добавить значение признака дифференциации</v>
      </c>
      <c r="AO9" s="368"/>
      <c r="AP9" s="368"/>
    </row>
    <row r="10" spans="1:42" ht="21" hidden="1" customHeight="1">
      <c r="A10" s="1143"/>
      <c r="B10" s="1143"/>
      <c r="C10" s="1143"/>
      <c r="D10" s="1143"/>
      <c r="E10" s="2112"/>
      <c r="F10" s="2112"/>
      <c r="G10" s="2112"/>
      <c r="H10" s="2112"/>
      <c r="I10" s="2113"/>
      <c r="J10" s="1143"/>
      <c r="K10" s="1143"/>
      <c r="L10" s="1144"/>
      <c r="P10" s="2115"/>
      <c r="Q10" s="1223"/>
      <c r="R10" s="237"/>
      <c r="S10" s="1062"/>
      <c r="T10" s="248" t="s">
        <v>338</v>
      </c>
      <c r="U10" s="251"/>
      <c r="V10" s="251"/>
      <c r="W10" s="251"/>
      <c r="X10" s="251"/>
      <c r="Y10" s="251"/>
      <c r="Z10" s="251"/>
      <c r="AA10" s="251"/>
      <c r="AB10" s="250"/>
      <c r="AC10" s="251"/>
      <c r="AD10" s="251"/>
      <c r="AE10" s="251"/>
      <c r="AF10" s="251"/>
      <c r="AG10" s="251"/>
      <c r="AH10" s="251"/>
      <c r="AI10" s="250"/>
      <c r="AJ10" s="251"/>
      <c r="AK10" s="1215"/>
      <c r="AM10" s="368"/>
      <c r="AN10" s="368" t="str">
        <f t="shared" si="0"/>
        <v>Добавить группу потребителей</v>
      </c>
      <c r="AO10" s="368"/>
      <c r="AP10" s="368"/>
    </row>
    <row r="11" spans="1:42" ht="21" hidden="1" customHeight="1">
      <c r="A11" s="1143"/>
      <c r="B11" s="1143"/>
      <c r="C11" s="1143"/>
      <c r="D11" s="1143"/>
      <c r="E11" s="2112"/>
      <c r="F11" s="2112"/>
      <c r="G11" s="2112"/>
      <c r="H11" s="2111"/>
      <c r="I11" s="1143"/>
      <c r="J11" s="1143"/>
      <c r="K11" s="1143"/>
      <c r="L11" s="1144"/>
      <c r="M11" s="1145"/>
      <c r="N11" s="1145"/>
      <c r="O11" s="395"/>
      <c r="P11" s="241"/>
      <c r="Q11" s="260"/>
      <c r="R11" s="236"/>
      <c r="S11" s="1062"/>
      <c r="T11" s="256" t="s">
        <v>414</v>
      </c>
      <c r="U11" s="251"/>
      <c r="V11" s="251"/>
      <c r="W11" s="251"/>
      <c r="X11" s="251"/>
      <c r="Y11" s="251"/>
      <c r="Z11" s="251"/>
      <c r="AA11" s="251"/>
      <c r="AB11" s="250"/>
      <c r="AC11" s="251"/>
      <c r="AD11" s="251"/>
      <c r="AE11" s="251"/>
      <c r="AF11" s="251"/>
      <c r="AG11" s="251"/>
      <c r="AH11" s="251"/>
      <c r="AI11" s="250"/>
      <c r="AJ11" s="251"/>
      <c r="AK11" s="178"/>
      <c r="AM11" s="368"/>
      <c r="AN11" s="368" t="str">
        <f t="shared" si="0"/>
        <v>Добавить наименование признака дифференциации</v>
      </c>
      <c r="AO11" s="368"/>
      <c r="AP11" s="368"/>
    </row>
    <row r="12" spans="1:42" s="1686" customFormat="1" ht="14.25" hidden="1" customHeight="1">
      <c r="A12" s="1124"/>
      <c r="B12" s="1124"/>
      <c r="C12" s="1096"/>
      <c r="D12" s="1096"/>
      <c r="E12" s="2112"/>
      <c r="F12" s="2111"/>
      <c r="G12" s="1096"/>
      <c r="H12" s="1096"/>
      <c r="I12" s="1096"/>
      <c r="J12" s="1096"/>
      <c r="K12" s="1096"/>
      <c r="L12" s="1231"/>
      <c r="M12" s="1103"/>
      <c r="N12" s="1103"/>
      <c r="P12" s="1098"/>
      <c r="Q12" s="1099"/>
      <c r="R12" s="1098"/>
      <c r="S12" s="1104"/>
      <c r="T12" s="1107" t="s">
        <v>341</v>
      </c>
      <c r="U12" s="1106"/>
      <c r="V12" s="1106"/>
      <c r="W12" s="1106"/>
      <c r="X12" s="1106"/>
      <c r="Y12" s="1106"/>
      <c r="Z12" s="1106"/>
      <c r="AA12" s="1106"/>
      <c r="AB12" s="1106"/>
      <c r="AC12" s="1106"/>
      <c r="AD12" s="1106"/>
      <c r="AE12" s="1106"/>
      <c r="AF12" s="1106"/>
      <c r="AG12" s="1106"/>
      <c r="AH12" s="1106"/>
      <c r="AI12" s="1106"/>
      <c r="AJ12" s="1106"/>
      <c r="AK12" s="1106"/>
      <c r="AM12" s="598"/>
      <c r="AN12" s="598" t="str">
        <f t="shared" si="0"/>
        <v>Добавить централизованную систему для дифференциации</v>
      </c>
      <c r="AO12" s="598"/>
      <c r="AP12" s="598"/>
    </row>
    <row r="13" spans="1:42" s="1622" customFormat="1" ht="14.25" hidden="1" customHeight="1">
      <c r="A13" s="1124"/>
      <c r="B13" s="1124"/>
      <c r="C13" s="1124"/>
      <c r="D13" s="1124"/>
      <c r="E13" s="2111"/>
      <c r="F13" s="1124"/>
      <c r="G13" s="1124"/>
      <c r="H13" s="1124"/>
      <c r="I13" s="1124"/>
      <c r="J13" s="1124"/>
      <c r="K13" s="1124"/>
      <c r="L13" s="1127"/>
      <c r="M13" s="1103"/>
      <c r="N13" s="1103"/>
      <c r="O13" s="386"/>
      <c r="P13" s="269"/>
      <c r="Q13" s="1125"/>
      <c r="R13" s="269"/>
      <c r="S13" s="1104"/>
      <c r="T13" s="1107" t="s">
        <v>342</v>
      </c>
      <c r="U13" s="1106"/>
      <c r="V13" s="1106"/>
      <c r="W13" s="1106"/>
      <c r="X13" s="1106"/>
      <c r="Y13" s="1106"/>
      <c r="Z13" s="1106"/>
      <c r="AA13" s="1106"/>
      <c r="AB13" s="1106"/>
      <c r="AC13" s="1106"/>
      <c r="AD13" s="1106"/>
      <c r="AE13" s="1106"/>
      <c r="AF13" s="1106"/>
      <c r="AG13" s="1106"/>
      <c r="AH13" s="1106"/>
      <c r="AI13" s="1106"/>
      <c r="AJ13" s="1106"/>
      <c r="AK13" s="1106"/>
      <c r="AM13" s="368"/>
      <c r="AN13" s="368" t="str">
        <f t="shared" si="0"/>
        <v>Добавить территорию для дифференциации</v>
      </c>
      <c r="AO13" s="368"/>
      <c r="AP13" s="368"/>
    </row>
    <row r="14" spans="1:42" ht="14.25" hidden="1" customHeight="1">
      <c r="AB14" s="210"/>
      <c r="AI14" s="210"/>
    </row>
    <row r="15" spans="1:42" ht="14.25" hidden="1" customHeight="1">
      <c r="AC15" s="1140"/>
      <c r="AD15" s="1140"/>
      <c r="AE15" s="1141"/>
      <c r="AF15" s="2108"/>
      <c r="AG15" s="2107" t="s">
        <v>16</v>
      </c>
      <c r="AH15" s="2108"/>
      <c r="AI15" s="2107" t="s">
        <v>16</v>
      </c>
    </row>
    <row r="16" spans="1:42" ht="14.25" hidden="1" customHeight="1">
      <c r="AC16" s="1140"/>
      <c r="AD16" s="1140"/>
      <c r="AE16" s="211" t="str">
        <f>AF15&amp;"-"&amp;AH15</f>
        <v>-</v>
      </c>
      <c r="AF16" s="2107"/>
      <c r="AG16" s="2107"/>
      <c r="AH16" s="2107"/>
      <c r="AI16" s="2107"/>
    </row>
    <row r="17" spans="1:42" ht="14.25" hidden="1" customHeight="1">
      <c r="AI17" s="210"/>
    </row>
    <row r="18" spans="1:42" s="1687" customFormat="1" ht="22.5" hidden="1" customHeight="1">
      <c r="L18" s="1220"/>
      <c r="M18" s="1142"/>
      <c r="N18" s="1142"/>
      <c r="O18" s="1147" t="s">
        <v>343</v>
      </c>
      <c r="P18" s="1142"/>
      <c r="Q18" s="1151"/>
      <c r="R18" s="1151"/>
      <c r="S18" s="556"/>
      <c r="Y18" s="1147"/>
      <c r="AA18" s="1147"/>
      <c r="AB18" s="1146"/>
      <c r="AF18" s="1147"/>
      <c r="AH18" s="1147"/>
      <c r="AI18" s="1146"/>
      <c r="AL18" s="379"/>
      <c r="AM18" s="379"/>
      <c r="AN18" s="379"/>
      <c r="AO18" s="379"/>
      <c r="AP18" s="379"/>
    </row>
    <row r="19" spans="1:42" s="1687" customFormat="1" ht="14.25" hidden="1" customHeight="1">
      <c r="L19" s="1220"/>
      <c r="M19" s="1142"/>
      <c r="N19" s="1142"/>
      <c r="O19" s="1142"/>
      <c r="P19" s="1142"/>
      <c r="Q19" s="1151"/>
      <c r="R19" s="1151"/>
      <c r="S19" s="556"/>
      <c r="AB19" s="1146"/>
      <c r="AI19" s="1146"/>
      <c r="AL19" s="379"/>
      <c r="AM19" s="379"/>
      <c r="AN19" s="379"/>
      <c r="AO19" s="379"/>
      <c r="AP19" s="379"/>
    </row>
    <row r="20" spans="1:42" s="1687" customFormat="1" ht="12" hidden="1" customHeight="1">
      <c r="L20" s="1220"/>
      <c r="M20" s="1142"/>
      <c r="N20" s="1142"/>
      <c r="O20" s="1144" t="s">
        <v>344</v>
      </c>
      <c r="P20" s="1142"/>
      <c r="Q20" s="1216"/>
      <c r="R20" s="1216"/>
      <c r="S20" s="556"/>
      <c r="T20" s="929" t="s">
        <v>345</v>
      </c>
      <c r="Z20" s="86" t="s">
        <v>346</v>
      </c>
      <c r="AB20" s="86" t="s">
        <v>347</v>
      </c>
      <c r="AC20" s="929" t="s">
        <v>345</v>
      </c>
      <c r="AG20" s="86" t="s">
        <v>348</v>
      </c>
      <c r="AI20" s="86" t="s">
        <v>347</v>
      </c>
    </row>
    <row r="21" spans="1:42" ht="14.25" hidden="1" customHeight="1">
      <c r="O21" s="1144"/>
    </row>
    <row r="22" spans="1:42" ht="14.25" hidden="1" customHeight="1">
      <c r="O22" s="1144"/>
    </row>
    <row r="23" spans="1:42" ht="14.25" customHeight="1">
      <c r="Q23" s="261"/>
      <c r="R23" s="261"/>
      <c r="S23" s="1059"/>
      <c r="T23" s="246"/>
      <c r="U23" s="246"/>
      <c r="V23" s="377"/>
      <c r="W23" s="377"/>
      <c r="X23" s="377"/>
      <c r="Y23" s="377"/>
      <c r="Z23" s="377"/>
      <c r="AA23" s="377"/>
      <c r="AB23" s="377"/>
      <c r="AC23" s="377"/>
      <c r="AD23" s="377"/>
      <c r="AE23" s="377"/>
      <c r="AF23" s="377"/>
      <c r="AG23" s="377"/>
      <c r="AH23" s="377"/>
      <c r="AI23" s="377"/>
    </row>
    <row r="24" spans="1:42" ht="14.25" customHeight="1">
      <c r="Q24" s="261"/>
      <c r="R24" s="261"/>
      <c r="S24" s="208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88"/>
      <c r="U24" s="2088"/>
      <c r="V24" s="2088"/>
      <c r="W24" s="2088"/>
      <c r="X24" s="2088"/>
      <c r="Y24" s="2088"/>
      <c r="Z24" s="2088"/>
      <c r="AA24" s="2088"/>
      <c r="AB24" s="2088"/>
      <c r="AC24" s="2088"/>
      <c r="AD24" s="2088"/>
      <c r="AE24" s="2088"/>
      <c r="AF24" s="2088"/>
      <c r="AG24" s="2088"/>
      <c r="AH24" s="2088"/>
      <c r="AI24" s="1019"/>
    </row>
    <row r="25" spans="1:42" ht="14.25" customHeight="1">
      <c r="Q25" s="261"/>
      <c r="R25" s="261"/>
      <c r="S25" s="2059" t="e">
        <f>IF(org=0,"Не определено",org)</f>
        <v>#REF!</v>
      </c>
      <c r="T25" s="2059"/>
      <c r="U25" s="2059"/>
      <c r="V25" s="2059"/>
      <c r="W25" s="2059"/>
      <c r="X25" s="2059"/>
      <c r="Y25" s="2059"/>
      <c r="Z25" s="2059"/>
      <c r="AA25" s="2059"/>
      <c r="AB25" s="2059"/>
      <c r="AC25" s="2059"/>
      <c r="AD25" s="2059"/>
      <c r="AE25" s="2059"/>
      <c r="AF25" s="2059"/>
      <c r="AG25" s="2059"/>
      <c r="AH25" s="2059"/>
      <c r="AI25" s="1019"/>
    </row>
    <row r="26" spans="1:42" ht="14.25" hidden="1" customHeight="1">
      <c r="Q26" s="261"/>
      <c r="R26" s="261"/>
      <c r="S26" s="1059"/>
      <c r="T26" s="246"/>
      <c r="U26" s="246"/>
      <c r="V26" s="203"/>
      <c r="W26" s="203"/>
      <c r="X26" s="203"/>
      <c r="Y26" s="203"/>
      <c r="Z26" s="203"/>
      <c r="AA26" s="203"/>
      <c r="AB26" s="203"/>
      <c r="AC26" s="203"/>
      <c r="AD26" s="203"/>
      <c r="AE26" s="203"/>
      <c r="AF26" s="203"/>
      <c r="AG26" s="203"/>
      <c r="AH26" s="203"/>
      <c r="AI26" s="203"/>
      <c r="AJ26" s="377"/>
    </row>
    <row r="27" spans="1:42" s="1692" customFormat="1" ht="25.5" hidden="1" customHeight="1">
      <c r="A27" s="1148"/>
      <c r="B27" s="1148"/>
      <c r="C27" s="1148"/>
      <c r="D27" s="1148"/>
      <c r="E27" s="1148"/>
      <c r="F27" s="1148"/>
      <c r="G27" s="1148"/>
      <c r="H27" s="1148"/>
      <c r="I27" s="1148"/>
      <c r="J27" s="1148"/>
      <c r="K27" s="1148"/>
      <c r="L27" s="1149"/>
      <c r="M27" s="1148"/>
      <c r="N27" s="1148"/>
      <c r="O27" s="1148"/>
      <c r="S27" s="2101" t="s">
        <v>6</v>
      </c>
      <c r="T27" s="2101"/>
      <c r="U27" s="1152"/>
      <c r="V27" s="2103" t="e">
        <f>IF(TITLE_NAME_OR_PR_CHANGE="",IF(TITLE_NAME_OR_PR="","",TITLE_NAME_OR_PR),TITLE_NAME_OR_PR_CHANGE)</f>
        <v>#REF!</v>
      </c>
      <c r="W27" s="2103"/>
      <c r="X27" s="2103"/>
      <c r="Y27" s="2103"/>
      <c r="Z27" s="2103"/>
      <c r="AA27" s="2103"/>
      <c r="AB27" s="209"/>
      <c r="AC27" s="2103" t="e">
        <f>IF(TITLE_NAME_OR_PR_CHANGE="",IF(TITLE_NAME_OR_PR="","",TITLE_NAME_OR_PR),TITLE_NAME_OR_PR_CHANGE)</f>
        <v>#REF!</v>
      </c>
      <c r="AD27" s="2103"/>
      <c r="AE27" s="2103"/>
      <c r="AF27" s="2103"/>
      <c r="AG27" s="2103"/>
      <c r="AH27" s="2103"/>
      <c r="AI27" s="209"/>
      <c r="AJ27" s="209"/>
      <c r="AK27" s="157"/>
      <c r="AL27" s="252"/>
      <c r="AM27" s="252"/>
      <c r="AN27" s="252"/>
      <c r="AO27" s="252"/>
      <c r="AP27" s="252"/>
    </row>
    <row r="28" spans="1:42" s="1692" customFormat="1" ht="18.75" hidden="1" customHeight="1">
      <c r="A28" s="1148"/>
      <c r="B28" s="1148"/>
      <c r="C28" s="1148"/>
      <c r="D28" s="1148"/>
      <c r="E28" s="1148"/>
      <c r="F28" s="1148"/>
      <c r="G28" s="1148"/>
      <c r="H28" s="1148"/>
      <c r="I28" s="1148"/>
      <c r="J28" s="1148"/>
      <c r="K28" s="1148"/>
      <c r="L28" s="1149"/>
      <c r="M28" s="1148"/>
      <c r="N28" s="1148"/>
      <c r="O28" s="1148"/>
      <c r="S28" s="2101" t="s">
        <v>349</v>
      </c>
      <c r="T28" s="2101"/>
      <c r="U28" s="1152"/>
      <c r="V28" s="2102" t="e">
        <f>IF(TITLE_DATE_PR_CHANGE="",IF(TITLE_DATE_PR="","",TITLE_DATE_PR),TITLE_DATE_PR_CHANGE)</f>
        <v>#REF!</v>
      </c>
      <c r="W28" s="2102"/>
      <c r="X28" s="2102"/>
      <c r="Y28" s="2102"/>
      <c r="Z28" s="2102"/>
      <c r="AA28" s="2102"/>
      <c r="AB28" s="209"/>
      <c r="AC28" s="2102" t="e">
        <f>IF(TITLE_DATE_PR_CHANGE="",IF(TITLE_DATE_PR="","",TITLE_DATE_PR),TITLE_DATE_PR_CHANGE)</f>
        <v>#REF!</v>
      </c>
      <c r="AD28" s="2102"/>
      <c r="AE28" s="2102"/>
      <c r="AF28" s="2102"/>
      <c r="AG28" s="2102"/>
      <c r="AH28" s="2102"/>
      <c r="AI28" s="209"/>
      <c r="AJ28" s="209"/>
      <c r="AK28" s="157"/>
      <c r="AL28" s="252"/>
      <c r="AM28" s="252"/>
      <c r="AN28" s="252"/>
      <c r="AO28" s="252"/>
      <c r="AP28" s="252"/>
    </row>
    <row r="29" spans="1:42" s="1692" customFormat="1" ht="18.75" hidden="1" customHeight="1">
      <c r="A29" s="1148"/>
      <c r="B29" s="1148"/>
      <c r="C29" s="1148"/>
      <c r="D29" s="1148"/>
      <c r="E29" s="1148"/>
      <c r="F29" s="1148"/>
      <c r="G29" s="1148"/>
      <c r="H29" s="1148"/>
      <c r="I29" s="1148"/>
      <c r="J29" s="1148"/>
      <c r="K29" s="1148"/>
      <c r="L29" s="1149"/>
      <c r="M29" s="1148"/>
      <c r="N29" s="1148"/>
      <c r="O29" s="1148"/>
      <c r="S29" s="2101" t="s">
        <v>350</v>
      </c>
      <c r="T29" s="2101"/>
      <c r="U29" s="1152"/>
      <c r="V29" s="2103" t="e">
        <f>IF(TITLE_NUMBER_PR_CHANGE="",IF(TITLE_NUMBER_PR="","",TITLE_NUMBER_PR),TITLE_NUMBER_PR_CHANGE)</f>
        <v>#REF!</v>
      </c>
      <c r="W29" s="2103"/>
      <c r="X29" s="2103"/>
      <c r="Y29" s="2103"/>
      <c r="Z29" s="2103"/>
      <c r="AA29" s="2103"/>
      <c r="AB29" s="209"/>
      <c r="AC29" s="2103" t="e">
        <f>IF(TITLE_NUMBER_PR_CHANGE="",IF(TITLE_NUMBER_PR="","",TITLE_NUMBER_PR),TITLE_NUMBER_PR_CHANGE)</f>
        <v>#REF!</v>
      </c>
      <c r="AD29" s="2103"/>
      <c r="AE29" s="2103"/>
      <c r="AF29" s="2103"/>
      <c r="AG29" s="2103"/>
      <c r="AH29" s="2103"/>
      <c r="AI29" s="209"/>
      <c r="AJ29" s="209"/>
      <c r="AK29" s="157"/>
      <c r="AL29" s="252"/>
      <c r="AM29" s="252"/>
      <c r="AN29" s="252"/>
      <c r="AO29" s="252"/>
      <c r="AP29" s="252"/>
    </row>
    <row r="30" spans="1:42" s="1692" customFormat="1" ht="18.75" hidden="1" customHeight="1">
      <c r="A30" s="1148"/>
      <c r="B30" s="1148"/>
      <c r="C30" s="1148"/>
      <c r="D30" s="1148"/>
      <c r="E30" s="1148"/>
      <c r="F30" s="1148"/>
      <c r="G30" s="1148"/>
      <c r="H30" s="1148"/>
      <c r="I30" s="1148"/>
      <c r="J30" s="1148"/>
      <c r="K30" s="1148"/>
      <c r="L30" s="1149"/>
      <c r="M30" s="1148"/>
      <c r="N30" s="1148"/>
      <c r="O30" s="1148"/>
      <c r="S30" s="2101" t="s">
        <v>7</v>
      </c>
      <c r="T30" s="2101"/>
      <c r="U30" s="1152"/>
      <c r="V30" s="2103" t="e">
        <f>IF(TITLE_IST_PUB_CHANGE="",IF(TITLE_IST_PUB="","",TITLE_IST_PUB),TITLE_IST_PUB_CHANGE)</f>
        <v>#REF!</v>
      </c>
      <c r="W30" s="2103"/>
      <c r="X30" s="2103"/>
      <c r="Y30" s="2103"/>
      <c r="Z30" s="2103"/>
      <c r="AA30" s="2103"/>
      <c r="AB30" s="209"/>
      <c r="AC30" s="2103" t="e">
        <f>IF(TITLE_IST_PUB_CHANGE="",IF(TITLE_IST_PUB="","",TITLE_IST_PUB),TITLE_IST_PUB_CHANGE)</f>
        <v>#REF!</v>
      </c>
      <c r="AD30" s="2103"/>
      <c r="AE30" s="2103"/>
      <c r="AF30" s="2103"/>
      <c r="AG30" s="2103"/>
      <c r="AH30" s="2103"/>
      <c r="AI30" s="209"/>
      <c r="AJ30" s="209"/>
      <c r="AK30" s="157"/>
      <c r="AL30" s="252"/>
      <c r="AM30" s="252"/>
      <c r="AN30" s="252"/>
      <c r="AO30" s="252"/>
      <c r="AP30" s="252"/>
    </row>
    <row r="31" spans="1:42" ht="14.25" hidden="1" customHeight="1">
      <c r="Q31" s="261"/>
      <c r="R31" s="261"/>
      <c r="S31" s="1059"/>
      <c r="T31" s="246"/>
      <c r="U31" s="246"/>
      <c r="V31" s="203"/>
      <c r="W31" s="203"/>
      <c r="X31" s="203"/>
      <c r="Y31" s="203"/>
      <c r="Z31" s="203"/>
      <c r="AA31" s="203"/>
      <c r="AB31" s="203"/>
      <c r="AC31" s="203"/>
      <c r="AD31" s="203"/>
      <c r="AE31" s="203"/>
      <c r="AF31" s="203"/>
      <c r="AG31" s="203"/>
      <c r="AH31" s="203"/>
      <c r="AI31" s="203"/>
      <c r="AJ31" s="377"/>
    </row>
    <row r="32" spans="1:42" s="1692" customFormat="1" ht="18.75" hidden="1" customHeight="1">
      <c r="A32" s="1148"/>
      <c r="B32" s="1148"/>
      <c r="C32" s="1148"/>
      <c r="D32" s="1148"/>
      <c r="E32" s="1148"/>
      <c r="F32" s="1148"/>
      <c r="G32" s="1148"/>
      <c r="H32" s="1148"/>
      <c r="I32" s="1148"/>
      <c r="J32" s="1148"/>
      <c r="K32" s="1148"/>
      <c r="L32" s="1149"/>
      <c r="M32" s="1148"/>
      <c r="N32" s="1148"/>
      <c r="O32" s="1148"/>
      <c r="S32" s="2101" t="s">
        <v>351</v>
      </c>
      <c r="T32" s="2101"/>
      <c r="U32" s="1152"/>
      <c r="V32" s="2102" t="e">
        <f>IF(TITLE_DATE_PR_CHANGE="",IF(TITLE_DATE_PR="","",TITLE_DATE_PR),TITLE_DATE_PR_CHANGE)</f>
        <v>#REF!</v>
      </c>
      <c r="W32" s="2102"/>
      <c r="X32" s="2102"/>
      <c r="Y32" s="2102"/>
      <c r="Z32" s="2102"/>
      <c r="AA32" s="2102"/>
      <c r="AB32" s="209"/>
      <c r="AC32" s="2102" t="e">
        <f>IF(TITLE_DATE_PR_CHANGE="",IF(TITLE_DATE_PR="","",TITLE_DATE_PR),TITLE_DATE_PR_CHANGE)</f>
        <v>#REF!</v>
      </c>
      <c r="AD32" s="2102"/>
      <c r="AE32" s="2102"/>
      <c r="AF32" s="2102"/>
      <c r="AG32" s="2102"/>
      <c r="AH32" s="2102"/>
      <c r="AI32" s="209"/>
      <c r="AJ32" s="209"/>
      <c r="AK32" s="157"/>
      <c r="AL32" s="252"/>
      <c r="AM32" s="252"/>
      <c r="AN32" s="252"/>
      <c r="AO32" s="252"/>
      <c r="AP32" s="252"/>
    </row>
    <row r="33" spans="1:42" s="1692" customFormat="1" ht="18.75" hidden="1" customHeight="1">
      <c r="A33" s="1148"/>
      <c r="B33" s="1148"/>
      <c r="C33" s="1148"/>
      <c r="D33" s="1148"/>
      <c r="E33" s="1148"/>
      <c r="F33" s="1148"/>
      <c r="G33" s="1148"/>
      <c r="H33" s="1148"/>
      <c r="I33" s="1148"/>
      <c r="J33" s="1148"/>
      <c r="K33" s="1148"/>
      <c r="L33" s="1149"/>
      <c r="M33" s="1148"/>
      <c r="N33" s="1148"/>
      <c r="O33" s="1148"/>
      <c r="S33" s="2101" t="s">
        <v>352</v>
      </c>
      <c r="T33" s="2101"/>
      <c r="U33" s="1152"/>
      <c r="V33" s="2103" t="e">
        <f>IF(TITLE_NUMBER_PR_CHANGE="",IF(TITLE_NUMBER_PR="","",TITLE_NUMBER_PR),TITLE_NUMBER_PR_CHANGE)</f>
        <v>#REF!</v>
      </c>
      <c r="W33" s="2103"/>
      <c r="X33" s="2103"/>
      <c r="Y33" s="2103"/>
      <c r="Z33" s="2103"/>
      <c r="AA33" s="2103"/>
      <c r="AB33" s="209"/>
      <c r="AC33" s="2103" t="e">
        <f>IF(TITLE_NUMBER_PR_CHANGE="",IF(TITLE_NUMBER_PR="","",TITLE_NUMBER_PR),TITLE_NUMBER_PR_CHANGE)</f>
        <v>#REF!</v>
      </c>
      <c r="AD33" s="2103"/>
      <c r="AE33" s="2103"/>
      <c r="AF33" s="2103"/>
      <c r="AG33" s="2103"/>
      <c r="AH33" s="2103"/>
      <c r="AI33" s="209"/>
      <c r="AJ33" s="209"/>
      <c r="AK33" s="157"/>
      <c r="AL33" s="252"/>
      <c r="AM33" s="252"/>
      <c r="AN33" s="252"/>
      <c r="AO33" s="252"/>
      <c r="AP33" s="252"/>
    </row>
    <row r="34" spans="1:42" s="1692" customFormat="1" ht="0.75" customHeight="1">
      <c r="A34" s="1148"/>
      <c r="B34" s="1148"/>
      <c r="C34" s="1148"/>
      <c r="D34" s="1148"/>
      <c r="E34" s="1148"/>
      <c r="F34" s="1148"/>
      <c r="G34" s="1148"/>
      <c r="H34" s="1148"/>
      <c r="I34" s="1148"/>
      <c r="J34" s="1148"/>
      <c r="K34" s="1148"/>
      <c r="L34" s="1149"/>
      <c r="M34" s="1148"/>
      <c r="N34" s="1148"/>
      <c r="O34" s="1148"/>
      <c r="S34" s="205"/>
      <c r="T34" s="205"/>
      <c r="U34" s="1227"/>
      <c r="V34" s="209"/>
      <c r="W34" s="209"/>
      <c r="X34" s="209"/>
      <c r="Y34" s="209"/>
      <c r="Z34" s="209"/>
      <c r="AA34" s="209"/>
      <c r="AB34" s="155" t="s">
        <v>353</v>
      </c>
      <c r="AC34" s="209"/>
      <c r="AD34" s="209"/>
      <c r="AE34" s="209"/>
      <c r="AF34" s="209"/>
      <c r="AG34" s="209"/>
      <c r="AH34" s="209"/>
      <c r="AI34" s="155" t="s">
        <v>353</v>
      </c>
      <c r="AL34" s="252"/>
      <c r="AM34" s="252"/>
      <c r="AN34" s="252"/>
      <c r="AO34" s="252"/>
      <c r="AP34" s="252"/>
    </row>
    <row r="35" spans="1:42" ht="14.25" customHeight="1">
      <c r="Q35" s="261"/>
      <c r="R35" s="261"/>
      <c r="S35" s="1059"/>
      <c r="T35" s="246"/>
      <c r="U35" s="1020"/>
      <c r="V35" s="2123"/>
      <c r="W35" s="2123"/>
      <c r="X35" s="2123"/>
      <c r="Y35" s="2123"/>
      <c r="Z35" s="2123"/>
      <c r="AA35" s="2123"/>
      <c r="AB35" s="2123"/>
      <c r="AC35" s="2123"/>
      <c r="AD35" s="2123"/>
      <c r="AE35" s="2123"/>
      <c r="AF35" s="2123"/>
      <c r="AG35" s="2123"/>
      <c r="AH35" s="2123"/>
      <c r="AI35" s="2123"/>
    </row>
    <row r="36" spans="1:42" ht="14.25" customHeight="1">
      <c r="Q36" s="261"/>
      <c r="R36" s="261"/>
      <c r="S36" s="2025" t="s">
        <v>224</v>
      </c>
      <c r="T36" s="2025"/>
      <c r="U36" s="2025"/>
      <c r="V36" s="2025"/>
      <c r="W36" s="2025"/>
      <c r="X36" s="2025"/>
      <c r="Y36" s="2025"/>
      <c r="Z36" s="2025"/>
      <c r="AA36" s="2025"/>
      <c r="AB36" s="2025"/>
      <c r="AC36" s="2025"/>
      <c r="AD36" s="2025"/>
      <c r="AE36" s="2025"/>
      <c r="AF36" s="2025"/>
      <c r="AG36" s="2025"/>
      <c r="AH36" s="2025"/>
      <c r="AI36" s="2025"/>
      <c r="AJ36" s="2025"/>
      <c r="AK36" s="2025" t="s">
        <v>225</v>
      </c>
    </row>
    <row r="37" spans="1:42" ht="14.25" customHeight="1">
      <c r="Q37" s="261"/>
      <c r="R37" s="261"/>
      <c r="S37" s="2124" t="s">
        <v>22</v>
      </c>
      <c r="T37" s="2068" t="s">
        <v>354</v>
      </c>
      <c r="U37" s="176"/>
      <c r="V37" s="2125" t="s">
        <v>355</v>
      </c>
      <c r="W37" s="2126"/>
      <c r="X37" s="2126"/>
      <c r="Y37" s="2126"/>
      <c r="Z37" s="2126"/>
      <c r="AA37" s="2127"/>
      <c r="AB37" s="2128" t="s">
        <v>356</v>
      </c>
      <c r="AC37" s="2125" t="s">
        <v>355</v>
      </c>
      <c r="AD37" s="2126"/>
      <c r="AE37" s="2126"/>
      <c r="AF37" s="2126"/>
      <c r="AG37" s="2126"/>
      <c r="AH37" s="2127"/>
      <c r="AI37" s="2128" t="s">
        <v>357</v>
      </c>
      <c r="AJ37" s="2131" t="s">
        <v>358</v>
      </c>
      <c r="AK37" s="2025"/>
    </row>
    <row r="38" spans="1:42" ht="33.75" customHeight="1">
      <c r="Q38" s="261"/>
      <c r="R38" s="261"/>
      <c r="S38" s="2124"/>
      <c r="T38" s="2068"/>
      <c r="U38" s="814"/>
      <c r="V38" s="1225" t="s">
        <v>415</v>
      </c>
      <c r="W38" s="1956" t="s">
        <v>361</v>
      </c>
      <c r="X38" s="1958"/>
      <c r="Y38" s="1956" t="s">
        <v>362</v>
      </c>
      <c r="Z38" s="1957"/>
      <c r="AA38" s="1958"/>
      <c r="AB38" s="2129"/>
      <c r="AC38" s="1225" t="s">
        <v>415</v>
      </c>
      <c r="AD38" s="1956" t="s">
        <v>361</v>
      </c>
      <c r="AE38" s="1958"/>
      <c r="AF38" s="1956" t="s">
        <v>362</v>
      </c>
      <c r="AG38" s="1957"/>
      <c r="AH38" s="1958"/>
      <c r="AI38" s="2129"/>
      <c r="AJ38" s="2132"/>
      <c r="AK38" s="2025"/>
    </row>
    <row r="39" spans="1:42" ht="33.75" customHeight="1">
      <c r="A39" s="1150"/>
      <c r="B39" s="1150" t="s">
        <v>73</v>
      </c>
      <c r="C39" s="1150" t="s">
        <v>74</v>
      </c>
      <c r="D39" s="1150" t="s">
        <v>75</v>
      </c>
      <c r="E39" s="1144" t="s">
        <v>363</v>
      </c>
      <c r="F39" s="1144" t="s">
        <v>364</v>
      </c>
      <c r="G39" s="1144" t="s">
        <v>365</v>
      </c>
      <c r="H39" s="1144"/>
      <c r="I39" s="1144" t="s">
        <v>416</v>
      </c>
      <c r="J39" s="1144" t="s">
        <v>368</v>
      </c>
      <c r="K39" s="1144" t="s">
        <v>417</v>
      </c>
      <c r="L39" s="1144" t="s">
        <v>344</v>
      </c>
      <c r="Q39" s="261"/>
      <c r="R39" s="261"/>
      <c r="S39" s="2124"/>
      <c r="T39" s="2068"/>
      <c r="U39" s="177"/>
      <c r="V39" s="1225" t="s">
        <v>418</v>
      </c>
      <c r="W39" s="995" t="s">
        <v>419</v>
      </c>
      <c r="X39" s="995" t="s">
        <v>420</v>
      </c>
      <c r="Y39" s="1228" t="s">
        <v>372</v>
      </c>
      <c r="Z39" s="2073" t="s">
        <v>373</v>
      </c>
      <c r="AA39" s="2087"/>
      <c r="AB39" s="2130"/>
      <c r="AC39" s="1225" t="s">
        <v>418</v>
      </c>
      <c r="AD39" s="995" t="s">
        <v>419</v>
      </c>
      <c r="AE39" s="995" t="s">
        <v>420</v>
      </c>
      <c r="AF39" s="1228" t="s">
        <v>372</v>
      </c>
      <c r="AG39" s="2073" t="s">
        <v>373</v>
      </c>
      <c r="AH39" s="2087"/>
      <c r="AI39" s="2130"/>
      <c r="AJ39" s="2133"/>
      <c r="AK39" s="2025"/>
    </row>
    <row r="40" spans="1:42" s="1621" customFormat="1" ht="0" hidden="1" customHeight="1">
      <c r="A40" s="1150"/>
      <c r="B40" s="1150"/>
      <c r="C40" s="1150"/>
      <c r="D40" s="1150"/>
      <c r="E40" s="1150"/>
      <c r="F40" s="1150"/>
      <c r="G40" s="1150"/>
      <c r="H40" s="1150"/>
      <c r="I40" s="1150"/>
      <c r="J40" s="1150"/>
      <c r="K40" s="1150"/>
      <c r="L40" s="1144"/>
      <c r="M40" s="1142"/>
      <c r="N40" s="1142"/>
      <c r="O40" s="1142"/>
      <c r="P40" s="1022"/>
      <c r="Q40" s="1023"/>
      <c r="R40" s="1038">
        <v>1</v>
      </c>
      <c r="S40" s="1061" t="s">
        <v>43</v>
      </c>
      <c r="T40" s="1039" t="s">
        <v>44</v>
      </c>
      <c r="U40" s="1021" t="str">
        <f ca="1">OFFSET(U40,0,-1)</f>
        <v>2</v>
      </c>
      <c r="V40" s="1224">
        <f ca="1">OFFSET(V40,0,-1)+1</f>
        <v>3</v>
      </c>
      <c r="W40" s="1224">
        <f ca="1">OFFSET(W40,0,-1)+1</f>
        <v>4</v>
      </c>
      <c r="X40" s="1224">
        <f ca="1">OFFSET(X40,0,-1)+1</f>
        <v>5</v>
      </c>
      <c r="Y40" s="1224">
        <f ca="1">OFFSET(Y40,0,-1)+1</f>
        <v>6</v>
      </c>
      <c r="Z40" s="2122">
        <f ca="1">OFFSET(Z40,0,-1)+1</f>
        <v>7</v>
      </c>
      <c r="AA40" s="2122"/>
      <c r="AB40" s="1224">
        <f ca="1">OFFSET(AB40,0,-2)+1</f>
        <v>8</v>
      </c>
      <c r="AC40" s="1224">
        <f ca="1">OFFSET(AC40,0,-1)+1</f>
        <v>9</v>
      </c>
      <c r="AD40" s="1224">
        <f ca="1">OFFSET(AD40,0,-1)+1</f>
        <v>10</v>
      </c>
      <c r="AE40" s="1224">
        <f ca="1">OFFSET(AE40,0,-1)+1</f>
        <v>11</v>
      </c>
      <c r="AF40" s="1224">
        <f ca="1">OFFSET(AF40,0,-1)+1</f>
        <v>12</v>
      </c>
      <c r="AG40" s="2122">
        <f ca="1">OFFSET(AG40,0,-1)+1</f>
        <v>13</v>
      </c>
      <c r="AH40" s="2122"/>
      <c r="AI40" s="1224">
        <f ca="1">OFFSET(AI40,0,-2)+1</f>
        <v>14</v>
      </c>
      <c r="AJ40" s="1021">
        <f ca="1">OFFSET(AJ40,0,-1)</f>
        <v>14</v>
      </c>
      <c r="AK40" s="1224">
        <f ca="1">OFFSET(AK40,0,-1)+1</f>
        <v>15</v>
      </c>
      <c r="AL40" s="379"/>
      <c r="AM40" s="379"/>
      <c r="AN40" s="379"/>
      <c r="AO40" s="379"/>
      <c r="AP40" s="379"/>
    </row>
    <row r="41" spans="1:42" ht="23.25" customHeight="1">
      <c r="A41" s="1143" t="s">
        <v>165</v>
      </c>
      <c r="B41" s="1143"/>
      <c r="C41" s="1143"/>
      <c r="D41" s="1143"/>
      <c r="E41" s="2111">
        <v>1</v>
      </c>
      <c r="F41" s="1143"/>
      <c r="G41" s="1143"/>
      <c r="H41" s="1143"/>
      <c r="I41" s="1143"/>
      <c r="J41" s="1143"/>
      <c r="K41" s="1143"/>
      <c r="L41" s="1144"/>
      <c r="M41" s="1145"/>
      <c r="N41" s="1145"/>
      <c r="O41" s="1145"/>
      <c r="P41" s="242"/>
      <c r="Q41" s="241"/>
      <c r="R41" s="236"/>
      <c r="S41" s="1230">
        <f>INDEX(PT_DIFFERENTIATION_NUM_NTAR,MATCH(A41,PT_DIFFERENTIATION_NTAR_ID,0))</f>
        <v>0</v>
      </c>
      <c r="T41" s="173" t="s">
        <v>61</v>
      </c>
      <c r="U41" s="175"/>
      <c r="V41" s="2104"/>
      <c r="W41" s="2105"/>
      <c r="X41" s="2105"/>
      <c r="Y41" s="2105"/>
      <c r="Z41" s="2105"/>
      <c r="AA41" s="2105"/>
      <c r="AB41" s="2106"/>
      <c r="AC41" s="2104" t="str">
        <f>INDEX(PT_DIFFERENTIATION_NTAR,MATCH(A41,PT_DIFFERENTIATION_NTAR_ID,0))</f>
        <v/>
      </c>
      <c r="AD41" s="2105"/>
      <c r="AE41" s="2105"/>
      <c r="AF41" s="2105"/>
      <c r="AG41" s="2105"/>
      <c r="AH41" s="2105"/>
      <c r="AI41" s="2105"/>
      <c r="AJ41" s="2106"/>
      <c r="AK41"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68"/>
      <c r="AN41" s="368" t="str">
        <f t="shared" ref="AN41:AN53" si="1">IF(T41="","",T41)</f>
        <v>Наименование тарифа</v>
      </c>
      <c r="AO41" s="368"/>
      <c r="AP41" s="368"/>
    </row>
    <row r="42" spans="1:42" ht="23.25" customHeight="1">
      <c r="A42" s="1143" t="s">
        <v>165</v>
      </c>
      <c r="B42" s="1143" t="s">
        <v>166</v>
      </c>
      <c r="C42" s="1143"/>
      <c r="D42" s="1143"/>
      <c r="E42" s="2112"/>
      <c r="F42" s="2111">
        <v>1</v>
      </c>
      <c r="G42" s="1143"/>
      <c r="H42" s="1143"/>
      <c r="I42" s="1143"/>
      <c r="J42" s="1143"/>
      <c r="K42" s="1143"/>
      <c r="L42" s="1144"/>
      <c r="M42" s="1145"/>
      <c r="N42" s="1145"/>
      <c r="O42" s="1145"/>
      <c r="P42" s="1226"/>
      <c r="Q42" s="233"/>
      <c r="R42" s="234"/>
      <c r="S42" s="1230" t="str">
        <f>INDEX(PT_DIFFERENTIATION_NUM_TER,MATCH(B42,PT_DIFFERENTIATION_TER_ID,0))</f>
        <v>.</v>
      </c>
      <c r="T42" s="185" t="s">
        <v>323</v>
      </c>
      <c r="U42" s="175"/>
      <c r="V42" s="2104"/>
      <c r="W42" s="2105"/>
      <c r="X42" s="2105"/>
      <c r="Y42" s="2105"/>
      <c r="Z42" s="2105"/>
      <c r="AA42" s="2105"/>
      <c r="AB42" s="2106"/>
      <c r="AC42" s="2104" t="str">
        <f>INDEX(PT_DIFFERENTIATION_TER,MATCH(B42,PT_DIFFERENTIATION_TER_ID,0))</f>
        <v/>
      </c>
      <c r="AD42" s="2105"/>
      <c r="AE42" s="2105"/>
      <c r="AF42" s="2105"/>
      <c r="AG42" s="2105"/>
      <c r="AH42" s="2105"/>
      <c r="AI42" s="2105"/>
      <c r="AJ42" s="2106"/>
      <c r="AK42" s="1044" t="s">
        <v>324</v>
      </c>
      <c r="AM42" s="368"/>
      <c r="AN42" s="368" t="str">
        <f t="shared" si="1"/>
        <v>Территория действия тарифа</v>
      </c>
      <c r="AO42" s="368"/>
      <c r="AP42" s="368"/>
    </row>
    <row r="43" spans="1:42" ht="23.25" customHeight="1">
      <c r="A43" s="1143" t="s">
        <v>165</v>
      </c>
      <c r="B43" s="1143" t="s">
        <v>166</v>
      </c>
      <c r="C43" s="1143" t="s">
        <v>167</v>
      </c>
      <c r="D43" s="1143"/>
      <c r="E43" s="2112"/>
      <c r="F43" s="2112"/>
      <c r="G43" s="2111">
        <v>1</v>
      </c>
      <c r="H43" s="1143"/>
      <c r="I43" s="1143"/>
      <c r="J43" s="1143"/>
      <c r="K43" s="1143"/>
      <c r="L43" s="1144"/>
      <c r="M43" s="1145"/>
      <c r="N43" s="1145"/>
      <c r="O43" s="1145"/>
      <c r="P43" s="235"/>
      <c r="Q43" s="233"/>
      <c r="R43" s="234"/>
      <c r="S43" s="1230" t="str">
        <f>INDEX(PT_DIFFERENTIATION_NUM_CS,MATCH(C43,PT_DIFFERENTIATION_CS_ID,0))</f>
        <v>..</v>
      </c>
      <c r="T43" s="186" t="s">
        <v>407</v>
      </c>
      <c r="U43" s="175"/>
      <c r="V43" s="2104"/>
      <c r="W43" s="2105"/>
      <c r="X43" s="2105"/>
      <c r="Y43" s="2105"/>
      <c r="Z43" s="2105"/>
      <c r="AA43" s="2105"/>
      <c r="AB43" s="2106"/>
      <c r="AC43" s="2104" t="str">
        <f>INDEX(PT_DIFFERENTIATION_CS,MATCH(C43,PT_DIFFERENTIATION_CS_ID,0))</f>
        <v/>
      </c>
      <c r="AD43" s="2105"/>
      <c r="AE43" s="2105"/>
      <c r="AF43" s="2105"/>
      <c r="AG43" s="2105"/>
      <c r="AH43" s="2105"/>
      <c r="AI43" s="2105"/>
      <c r="AJ43" s="2106"/>
      <c r="AK43" s="1044" t="s">
        <v>408</v>
      </c>
      <c r="AM43" s="368"/>
      <c r="AN43" s="368" t="str">
        <f t="shared" si="1"/>
        <v>Наименование централизованной системы холодного водоснабжения</v>
      </c>
      <c r="AO43" s="368"/>
      <c r="AP43" s="368"/>
    </row>
    <row r="44" spans="1:42" ht="23.25" customHeight="1">
      <c r="A44" s="1143" t="s">
        <v>165</v>
      </c>
      <c r="B44" s="1143" t="s">
        <v>166</v>
      </c>
      <c r="C44" s="1143" t="s">
        <v>167</v>
      </c>
      <c r="D44" s="1143" t="s">
        <v>424</v>
      </c>
      <c r="E44" s="2112"/>
      <c r="F44" s="2112"/>
      <c r="G44" s="2112"/>
      <c r="H44" s="2112"/>
      <c r="I44" s="2113" t="str">
        <f>S43&amp;".1"</f>
        <v>...1</v>
      </c>
      <c r="J44" s="1143"/>
      <c r="K44" s="1143"/>
      <c r="L44" s="1144"/>
      <c r="P44" s="2115">
        <v>1</v>
      </c>
      <c r="Q44" s="1223"/>
      <c r="R44" s="237"/>
      <c r="S44" s="1230" t="str">
        <f>$I44</f>
        <v>...1</v>
      </c>
      <c r="T44" s="161" t="s">
        <v>409</v>
      </c>
      <c r="U44" s="175"/>
      <c r="V44" s="2171"/>
      <c r="W44" s="2172"/>
      <c r="X44" s="2172"/>
      <c r="Y44" s="2172"/>
      <c r="Z44" s="2172"/>
      <c r="AA44" s="2172"/>
      <c r="AB44" s="2173"/>
      <c r="AC44" s="2174"/>
      <c r="AD44" s="2175"/>
      <c r="AE44" s="2175"/>
      <c r="AF44" s="2175"/>
      <c r="AG44" s="2175"/>
      <c r="AH44" s="2175"/>
      <c r="AI44" s="2175"/>
      <c r="AJ44" s="2176"/>
      <c r="AK44" s="1044" t="s">
        <v>410</v>
      </c>
      <c r="AM44" s="368"/>
      <c r="AN44" s="368" t="str">
        <f t="shared" si="1"/>
        <v>Наименование признака дифференциации</v>
      </c>
      <c r="AO44" s="368"/>
      <c r="AP44" s="368"/>
    </row>
    <row r="45" spans="1:42" ht="23.25" customHeight="1">
      <c r="A45" s="1143" t="s">
        <v>165</v>
      </c>
      <c r="B45" s="1143" t="s">
        <v>166</v>
      </c>
      <c r="C45" s="1143" t="s">
        <v>167</v>
      </c>
      <c r="D45" s="1143" t="s">
        <v>424</v>
      </c>
      <c r="E45" s="2112"/>
      <c r="F45" s="2112"/>
      <c r="G45" s="2112"/>
      <c r="H45" s="2112"/>
      <c r="I45" s="2114"/>
      <c r="J45" s="2113" t="str">
        <f>I44&amp;".1"</f>
        <v>...1.1</v>
      </c>
      <c r="K45" s="1143"/>
      <c r="L45" s="1144" t="s">
        <v>332</v>
      </c>
      <c r="P45" s="2115"/>
      <c r="Q45" s="2115">
        <v>1</v>
      </c>
      <c r="R45" s="238"/>
      <c r="S45" s="1230" t="str">
        <f>$J45</f>
        <v>...1.1</v>
      </c>
      <c r="T45" s="162" t="s">
        <v>333</v>
      </c>
      <c r="U45" s="175"/>
      <c r="V45" s="2098"/>
      <c r="W45" s="2099"/>
      <c r="X45" s="2099"/>
      <c r="Y45" s="2099"/>
      <c r="Z45" s="2099"/>
      <c r="AA45" s="2099"/>
      <c r="AB45" s="2100"/>
      <c r="AC45" s="2098"/>
      <c r="AD45" s="2099"/>
      <c r="AE45" s="2099"/>
      <c r="AF45" s="2099"/>
      <c r="AG45" s="2099"/>
      <c r="AH45" s="2099"/>
      <c r="AI45" s="2099"/>
      <c r="AJ45" s="2100"/>
      <c r="AK45" s="1090" t="s">
        <v>411</v>
      </c>
      <c r="AM45" s="368"/>
      <c r="AN45" s="368" t="str">
        <f t="shared" si="1"/>
        <v>Группа потребителей</v>
      </c>
      <c r="AO45" s="368"/>
      <c r="AP45" s="368"/>
    </row>
    <row r="46" spans="1:42" ht="23.25" customHeight="1">
      <c r="A46" s="1143" t="s">
        <v>165</v>
      </c>
      <c r="B46" s="1143" t="s">
        <v>166</v>
      </c>
      <c r="C46" s="1143" t="s">
        <v>167</v>
      </c>
      <c r="D46" s="1143" t="s">
        <v>424</v>
      </c>
      <c r="E46" s="2112"/>
      <c r="F46" s="2112"/>
      <c r="G46" s="2112"/>
      <c r="H46" s="2112"/>
      <c r="I46" s="2114"/>
      <c r="J46" s="2114"/>
      <c r="K46" s="2113" t="str">
        <f>J45&amp;".1"</f>
        <v>...1.1.1</v>
      </c>
      <c r="L46" s="1144"/>
      <c r="P46" s="2115"/>
      <c r="Q46" s="2115"/>
      <c r="R46" s="238">
        <v>1</v>
      </c>
      <c r="S46" s="1230" t="str">
        <f>$K46</f>
        <v>...1.1.1</v>
      </c>
      <c r="T46" s="1212"/>
      <c r="U46" s="175"/>
      <c r="V46" s="576"/>
      <c r="W46" s="576"/>
      <c r="X46" s="1043"/>
      <c r="Y46" s="2116"/>
      <c r="Z46" s="2109" t="s">
        <v>16</v>
      </c>
      <c r="AA46" s="2116"/>
      <c r="AB46" s="2109" t="s">
        <v>16</v>
      </c>
      <c r="AC46" s="576"/>
      <c r="AD46" s="576"/>
      <c r="AE46" s="1043"/>
      <c r="AF46" s="2116"/>
      <c r="AG46" s="2109" t="s">
        <v>16</v>
      </c>
      <c r="AH46" s="2118"/>
      <c r="AI46" s="2109" t="s">
        <v>16</v>
      </c>
      <c r="AJ46" s="1213"/>
      <c r="AK46"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79" t="e">
        <f ca="1">STRCHECKDATE(V47:AJ47)</f>
        <v>#NAME?</v>
      </c>
      <c r="AM46" s="368"/>
      <c r="AN46" s="368" t="str">
        <f t="shared" si="1"/>
        <v/>
      </c>
      <c r="AO46" s="368"/>
      <c r="AP46" s="368"/>
    </row>
    <row r="47" spans="1:42" ht="0" hidden="1" customHeight="1">
      <c r="A47" s="1143" t="s">
        <v>165</v>
      </c>
      <c r="B47" s="1143" t="s">
        <v>166</v>
      </c>
      <c r="C47" s="1143" t="s">
        <v>167</v>
      </c>
      <c r="D47" s="1143" t="s">
        <v>424</v>
      </c>
      <c r="E47" s="2112"/>
      <c r="F47" s="2112"/>
      <c r="G47" s="2112"/>
      <c r="H47" s="2112"/>
      <c r="I47" s="2114"/>
      <c r="J47" s="2114"/>
      <c r="K47" s="2113"/>
      <c r="L47" s="1144"/>
      <c r="P47" s="2115"/>
      <c r="Q47" s="2115"/>
      <c r="R47" s="238"/>
      <c r="S47" s="1229"/>
      <c r="T47" s="175"/>
      <c r="U47" s="175"/>
      <c r="V47" s="207"/>
      <c r="W47" s="207"/>
      <c r="X47" s="211" t="str">
        <f>Y46&amp;"-"&amp;AA46</f>
        <v>-</v>
      </c>
      <c r="Y47" s="2117"/>
      <c r="Z47" s="2109"/>
      <c r="AA47" s="2117"/>
      <c r="AB47" s="2109"/>
      <c r="AC47" s="207"/>
      <c r="AD47" s="207"/>
      <c r="AE47" s="211" t="str">
        <f>AF46&amp;"-"&amp;AH46</f>
        <v>-</v>
      </c>
      <c r="AF47" s="2117"/>
      <c r="AG47" s="2109"/>
      <c r="AH47" s="2119"/>
      <c r="AI47" s="2109"/>
      <c r="AJ47" s="1214"/>
      <c r="AK47" s="2177"/>
      <c r="AM47" s="368"/>
      <c r="AN47" s="368" t="str">
        <f t="shared" si="1"/>
        <v/>
      </c>
      <c r="AO47" s="368"/>
      <c r="AP47" s="368"/>
    </row>
    <row r="48" spans="1:42" ht="21" customHeight="1">
      <c r="A48" s="1143" t="s">
        <v>165</v>
      </c>
      <c r="B48" s="1143" t="s">
        <v>166</v>
      </c>
      <c r="C48" s="1143" t="s">
        <v>167</v>
      </c>
      <c r="D48" s="1143" t="s">
        <v>424</v>
      </c>
      <c r="E48" s="2112"/>
      <c r="F48" s="2112"/>
      <c r="G48" s="2112"/>
      <c r="H48" s="2112"/>
      <c r="I48" s="2114"/>
      <c r="J48" s="2113"/>
      <c r="K48" s="1143"/>
      <c r="L48" s="1144"/>
      <c r="P48" s="2115"/>
      <c r="Q48" s="2115"/>
      <c r="R48" s="237"/>
      <c r="S48" s="1062"/>
      <c r="T48" s="163" t="s">
        <v>412</v>
      </c>
      <c r="U48" s="251"/>
      <c r="V48" s="251"/>
      <c r="W48" s="251"/>
      <c r="X48" s="251"/>
      <c r="Y48" s="251"/>
      <c r="Z48" s="251"/>
      <c r="AA48" s="251"/>
      <c r="AB48" s="251"/>
      <c r="AC48" s="251"/>
      <c r="AD48" s="251"/>
      <c r="AE48" s="251"/>
      <c r="AF48" s="251"/>
      <c r="AG48" s="251"/>
      <c r="AH48" s="251"/>
      <c r="AI48" s="251"/>
      <c r="AJ48" s="251"/>
      <c r="AK48" s="1044" t="s">
        <v>413</v>
      </c>
      <c r="AM48" s="368"/>
      <c r="AN48" s="368" t="str">
        <f t="shared" si="1"/>
        <v>Добавить значение признака дифференциации</v>
      </c>
      <c r="AO48" s="368"/>
      <c r="AP48" s="368"/>
    </row>
    <row r="49" spans="1:42" ht="21" customHeight="1">
      <c r="A49" s="1143" t="s">
        <v>165</v>
      </c>
      <c r="B49" s="1143" t="s">
        <v>166</v>
      </c>
      <c r="C49" s="1143" t="s">
        <v>167</v>
      </c>
      <c r="D49" s="1143" t="s">
        <v>424</v>
      </c>
      <c r="E49" s="2112"/>
      <c r="F49" s="2112"/>
      <c r="G49" s="2112"/>
      <c r="H49" s="2112"/>
      <c r="I49" s="2113"/>
      <c r="J49" s="1143"/>
      <c r="K49" s="1143"/>
      <c r="L49" s="1144"/>
      <c r="P49" s="2115"/>
      <c r="Q49" s="1223"/>
      <c r="R49" s="237"/>
      <c r="S49" s="1062"/>
      <c r="T49" s="248" t="s">
        <v>338</v>
      </c>
      <c r="U49" s="251"/>
      <c r="V49" s="251"/>
      <c r="W49" s="251"/>
      <c r="X49" s="251"/>
      <c r="Y49" s="251"/>
      <c r="Z49" s="251"/>
      <c r="AA49" s="251"/>
      <c r="AB49" s="250"/>
      <c r="AC49" s="251"/>
      <c r="AD49" s="251"/>
      <c r="AE49" s="251"/>
      <c r="AF49" s="251"/>
      <c r="AG49" s="251"/>
      <c r="AH49" s="251"/>
      <c r="AI49" s="250"/>
      <c r="AJ49" s="251"/>
      <c r="AK49" s="1215"/>
      <c r="AM49" s="368"/>
      <c r="AN49" s="368" t="str">
        <f t="shared" si="1"/>
        <v>Добавить группу потребителей</v>
      </c>
      <c r="AO49" s="368"/>
      <c r="AP49" s="368"/>
    </row>
    <row r="50" spans="1:42" ht="21" customHeight="1">
      <c r="A50" s="1143" t="s">
        <v>165</v>
      </c>
      <c r="B50" s="1143" t="s">
        <v>166</v>
      </c>
      <c r="C50" s="1143" t="s">
        <v>167</v>
      </c>
      <c r="D50" s="1143" t="s">
        <v>424</v>
      </c>
      <c r="E50" s="2112"/>
      <c r="F50" s="2112"/>
      <c r="G50" s="2112"/>
      <c r="H50" s="2111"/>
      <c r="I50" s="1143"/>
      <c r="J50" s="1143"/>
      <c r="K50" s="1143"/>
      <c r="L50" s="1144"/>
      <c r="M50" s="1145"/>
      <c r="N50" s="1145"/>
      <c r="O50" s="395"/>
      <c r="P50" s="241"/>
      <c r="Q50" s="260"/>
      <c r="R50" s="236"/>
      <c r="S50" s="1062"/>
      <c r="T50" s="256" t="s">
        <v>414</v>
      </c>
      <c r="U50" s="251"/>
      <c r="V50" s="251"/>
      <c r="W50" s="251"/>
      <c r="X50" s="251"/>
      <c r="Y50" s="251"/>
      <c r="Z50" s="251"/>
      <c r="AA50" s="251"/>
      <c r="AB50" s="250"/>
      <c r="AC50" s="251"/>
      <c r="AD50" s="251"/>
      <c r="AE50" s="251"/>
      <c r="AF50" s="251"/>
      <c r="AG50" s="251"/>
      <c r="AH50" s="251"/>
      <c r="AI50" s="250"/>
      <c r="AJ50" s="251"/>
      <c r="AK50" s="178"/>
      <c r="AM50" s="368"/>
      <c r="AN50" s="368" t="str">
        <f t="shared" si="1"/>
        <v>Добавить наименование признака дифференциации</v>
      </c>
      <c r="AO50" s="368"/>
      <c r="AP50" s="368"/>
    </row>
    <row r="51" spans="1:42" s="1686" customFormat="1" ht="0" hidden="1" customHeight="1">
      <c r="A51" s="1124" t="s">
        <v>165</v>
      </c>
      <c r="B51" s="1124" t="s">
        <v>166</v>
      </c>
      <c r="C51" s="1096"/>
      <c r="D51" s="1096"/>
      <c r="E51" s="2112"/>
      <c r="F51" s="2111"/>
      <c r="G51" s="1096"/>
      <c r="H51" s="1096"/>
      <c r="I51" s="1096"/>
      <c r="J51" s="1096"/>
      <c r="K51" s="1096"/>
      <c r="L51" s="1231"/>
      <c r="M51" s="1103"/>
      <c r="N51" s="1103"/>
      <c r="P51" s="1098"/>
      <c r="Q51" s="1099"/>
      <c r="R51" s="1098"/>
      <c r="S51" s="1104"/>
      <c r="T51" s="1107" t="s">
        <v>341</v>
      </c>
      <c r="U51" s="1106"/>
      <c r="V51" s="1106"/>
      <c r="W51" s="1106"/>
      <c r="X51" s="1106"/>
      <c r="Y51" s="1106"/>
      <c r="Z51" s="1106"/>
      <c r="AA51" s="1106"/>
      <c r="AB51" s="1106"/>
      <c r="AC51" s="1106"/>
      <c r="AD51" s="1106"/>
      <c r="AE51" s="1106"/>
      <c r="AF51" s="1106"/>
      <c r="AG51" s="1106"/>
      <c r="AH51" s="1106"/>
      <c r="AI51" s="1106"/>
      <c r="AJ51" s="1106"/>
      <c r="AK51" s="1106"/>
      <c r="AM51" s="598"/>
      <c r="AN51" s="598" t="str">
        <f t="shared" si="1"/>
        <v>Добавить централизованную систему для дифференциации</v>
      </c>
      <c r="AO51" s="598"/>
      <c r="AP51" s="598"/>
    </row>
    <row r="52" spans="1:42" s="1622" customFormat="1" ht="0" hidden="1" customHeight="1">
      <c r="A52" s="1124" t="s">
        <v>165</v>
      </c>
      <c r="B52" s="1124"/>
      <c r="C52" s="1124"/>
      <c r="D52" s="1124"/>
      <c r="E52" s="2111"/>
      <c r="F52" s="1124"/>
      <c r="G52" s="1124"/>
      <c r="H52" s="1124"/>
      <c r="I52" s="1124"/>
      <c r="J52" s="1124"/>
      <c r="K52" s="1124"/>
      <c r="L52" s="1127"/>
      <c r="M52" s="1103"/>
      <c r="N52" s="1103"/>
      <c r="O52" s="386"/>
      <c r="P52" s="269"/>
      <c r="Q52" s="1125"/>
      <c r="R52" s="269"/>
      <c r="S52" s="1104"/>
      <c r="T52" s="1107" t="s">
        <v>342</v>
      </c>
      <c r="U52" s="1106"/>
      <c r="V52" s="1106"/>
      <c r="W52" s="1106"/>
      <c r="X52" s="1106"/>
      <c r="Y52" s="1106"/>
      <c r="Z52" s="1106"/>
      <c r="AA52" s="1106"/>
      <c r="AB52" s="1106"/>
      <c r="AC52" s="1106"/>
      <c r="AD52" s="1106"/>
      <c r="AE52" s="1106"/>
      <c r="AF52" s="1106"/>
      <c r="AG52" s="1106"/>
      <c r="AH52" s="1106"/>
      <c r="AI52" s="1106"/>
      <c r="AJ52" s="1106"/>
      <c r="AK52" s="1106"/>
      <c r="AM52" s="368"/>
      <c r="AN52" s="368" t="str">
        <f t="shared" si="1"/>
        <v>Добавить территорию для дифференциации</v>
      </c>
      <c r="AO52" s="368"/>
      <c r="AP52" s="368"/>
    </row>
    <row r="53" spans="1:42" s="1686" customFormat="1" ht="0" hidden="1" customHeight="1">
      <c r="A53" s="1096"/>
      <c r="B53" s="1096"/>
      <c r="C53" s="1096"/>
      <c r="D53" s="1096"/>
      <c r="E53" s="1124"/>
      <c r="F53" s="1096"/>
      <c r="G53" s="1096"/>
      <c r="H53" s="1096"/>
      <c r="I53" s="1096"/>
      <c r="J53" s="1096"/>
      <c r="K53" s="1096"/>
      <c r="L53" s="1231"/>
      <c r="M53" s="1103"/>
      <c r="N53" s="1103"/>
      <c r="P53" s="1098"/>
      <c r="Q53" s="1099"/>
      <c r="R53" s="1098"/>
      <c r="S53" s="1104"/>
      <c r="T53" s="1107" t="s">
        <v>374</v>
      </c>
      <c r="U53" s="1106"/>
      <c r="V53" s="1106"/>
      <c r="W53" s="1106"/>
      <c r="X53" s="1106"/>
      <c r="Y53" s="1106"/>
      <c r="Z53" s="1106"/>
      <c r="AA53" s="1106"/>
      <c r="AB53" s="1106"/>
      <c r="AC53" s="1106"/>
      <c r="AD53" s="1106"/>
      <c r="AE53" s="1106"/>
      <c r="AF53" s="1106"/>
      <c r="AG53" s="1106"/>
      <c r="AH53" s="1106"/>
      <c r="AI53" s="1106"/>
      <c r="AJ53" s="1106"/>
      <c r="AK53" s="1106"/>
      <c r="AM53" s="598"/>
      <c r="AN53" s="598" t="str">
        <f t="shared" si="1"/>
        <v>Добавить наименование тарифа</v>
      </c>
      <c r="AO53" s="598"/>
      <c r="AP53" s="598"/>
    </row>
    <row r="54" spans="1:42" ht="11.25" customHeight="1">
      <c r="M54" s="929"/>
      <c r="N54" s="929"/>
      <c r="O54" s="395"/>
      <c r="P54" s="924"/>
      <c r="Q54" s="924"/>
      <c r="R54" s="924"/>
      <c r="S54" s="924"/>
      <c r="AL54" s="924"/>
      <c r="AM54" s="924"/>
      <c r="AN54" s="924"/>
      <c r="AO54" s="924"/>
      <c r="AP54" s="924"/>
    </row>
    <row r="55" spans="1:42" ht="14.25" customHeight="1">
      <c r="O55" s="395"/>
      <c r="S55" s="1031"/>
      <c r="T55" s="2110"/>
      <c r="U55" s="2110"/>
      <c r="V55" s="2110"/>
      <c r="W55" s="2110"/>
      <c r="X55" s="2110"/>
      <c r="Y55" s="2110"/>
      <c r="Z55" s="2110"/>
      <c r="AA55" s="2110"/>
      <c r="AB55" s="2110"/>
      <c r="AC55" s="2110"/>
      <c r="AD55" s="2110"/>
      <c r="AE55" s="2110"/>
      <c r="AF55" s="2110"/>
      <c r="AG55" s="2110"/>
      <c r="AH55" s="2110"/>
      <c r="AI55" s="2110"/>
      <c r="AJ55" s="2110"/>
      <c r="AK55" s="2110"/>
    </row>
    <row r="56" spans="1:42" ht="14.25" customHeight="1">
      <c r="O56" s="395"/>
    </row>
    <row r="57" spans="1:42" ht="14.25" customHeight="1">
      <c r="O57" s="395"/>
      <c r="S57" s="1031"/>
      <c r="T57" s="2110"/>
      <c r="U57" s="2110"/>
      <c r="V57" s="2110"/>
      <c r="W57" s="2110"/>
      <c r="X57" s="2110"/>
      <c r="Y57" s="2110"/>
      <c r="Z57" s="2110"/>
      <c r="AA57" s="2110"/>
      <c r="AB57" s="2110"/>
      <c r="AC57" s="2110"/>
      <c r="AD57" s="2110"/>
      <c r="AE57" s="2110"/>
      <c r="AF57" s="2110"/>
      <c r="AG57" s="2110"/>
      <c r="AH57" s="2110"/>
      <c r="AI57" s="2110"/>
      <c r="AJ57" s="2110"/>
      <c r="AK57" s="211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687" hidden="1" customWidth="1"/>
    <col min="2" max="2" width="11" style="1687" hidden="1" customWidth="1"/>
    <col min="3" max="3" width="10.5703125" style="1687" hidden="1"/>
    <col min="4" max="4" width="12.85546875" style="1687" hidden="1" customWidth="1"/>
    <col min="5" max="5" width="10" style="1687" hidden="1" customWidth="1"/>
    <col min="6" max="6" width="8.7109375" style="1687" hidden="1" customWidth="1"/>
    <col min="7" max="7" width="7.5703125" style="1687" hidden="1" customWidth="1"/>
    <col min="8" max="8" width="11.42578125" style="1687" hidden="1" customWidth="1"/>
    <col min="9" max="9" width="12" style="1687" hidden="1" customWidth="1"/>
    <col min="10" max="10" width="9.85546875" style="1687" hidden="1" customWidth="1"/>
    <col min="11" max="11" width="11.42578125" style="1687" hidden="1" customWidth="1"/>
    <col min="12" max="12" width="19.140625" style="1705" hidden="1" customWidth="1"/>
    <col min="13" max="14" width="12.28515625" style="1689" hidden="1" customWidth="1"/>
    <col min="15" max="15" width="23.42578125" style="1689" hidden="1" customWidth="1"/>
    <col min="16" max="16" width="3.7109375" style="1689" hidden="1" customWidth="1"/>
    <col min="17" max="17" width="3.7109375" style="1690" hidden="1" customWidth="1"/>
    <col min="18" max="18" width="3.7109375" style="1695" customWidth="1"/>
    <col min="19" max="19" width="12.7109375" style="1696" customWidth="1"/>
    <col min="20" max="20" width="32" style="1661" customWidth="1"/>
    <col min="21" max="21" width="0.140625" style="1661" customWidth="1"/>
    <col min="22" max="25" width="21.7109375" style="1661" hidden="1" customWidth="1"/>
    <col min="26" max="26" width="11.7109375" style="1661" hidden="1" customWidth="1"/>
    <col min="27" max="27" width="3.7109375" style="1661" hidden="1" customWidth="1"/>
    <col min="28" max="28" width="11.7109375" style="1661" hidden="1" customWidth="1"/>
    <col min="29" max="29" width="8.5703125" style="1661" hidden="1" customWidth="1"/>
    <col min="30" max="32" width="3.7109375" style="1661" customWidth="1"/>
    <col min="33" max="33" width="24.7109375" style="1661" customWidth="1"/>
    <col min="34" max="36" width="3.7109375" style="1661" customWidth="1"/>
    <col min="37" max="37" width="24.7109375" style="1661" customWidth="1"/>
    <col min="38" max="40" width="3.7109375" style="1661" customWidth="1"/>
    <col min="41" max="41" width="18.85546875" style="1661" customWidth="1"/>
    <col min="42" max="44" width="3.7109375" style="1661" customWidth="1"/>
    <col min="45" max="45" width="18.85546875" style="1661" customWidth="1"/>
    <col min="46" max="49" width="21.7109375" style="1661" customWidth="1"/>
    <col min="50" max="50" width="11.7109375" style="1661" customWidth="1"/>
    <col min="51" max="51" width="3.7109375" style="1661" customWidth="1"/>
    <col min="52" max="52" width="11.7109375" style="1661" customWidth="1"/>
    <col min="53" max="53" width="8.5703125" style="1661" hidden="1" customWidth="1"/>
    <col min="54" max="54" width="4.7109375" style="1661" customWidth="1"/>
    <col min="55" max="55" width="115.7109375" style="1661" customWidth="1"/>
    <col min="56" max="57" width="10.5703125" style="1622"/>
    <col min="58" max="58" width="11.140625" style="1622" customWidth="1"/>
    <col min="59" max="60" width="10.5703125" style="1622"/>
  </cols>
  <sheetData>
    <row r="1" spans="1:60" ht="14.25" hidden="1" customHeight="1">
      <c r="W1" s="210"/>
      <c r="Y1" s="210"/>
      <c r="Z1" s="210"/>
      <c r="AW1" s="210"/>
      <c r="AX1" s="210"/>
    </row>
    <row r="2" spans="1:60" ht="21" hidden="1" customHeight="1">
      <c r="A2" s="1143"/>
      <c r="B2" s="1143"/>
      <c r="C2" s="1143"/>
      <c r="D2" s="1143"/>
      <c r="E2" s="2111">
        <v>1</v>
      </c>
      <c r="F2" s="1143"/>
      <c r="G2" s="1143"/>
      <c r="H2" s="1143"/>
      <c r="I2" s="1143"/>
      <c r="J2" s="1143"/>
      <c r="K2" s="1143"/>
      <c r="L2" s="1144"/>
      <c r="M2" s="1145"/>
      <c r="N2" s="1145"/>
      <c r="O2" s="1145"/>
      <c r="P2" s="1189"/>
      <c r="Q2" s="669"/>
      <c r="R2" s="236"/>
      <c r="S2" s="1237" t="e">
        <f>INDEX(PT_DIFFERENTIATION_NUM_NTAR,MATCH(A2,PT_DIFFERENTIATION_NTAR_ID,0))</f>
        <v>#N/A</v>
      </c>
      <c r="T2" s="173" t="s">
        <v>61</v>
      </c>
      <c r="U2" s="175"/>
      <c r="V2" s="2105"/>
      <c r="W2" s="2105"/>
      <c r="X2" s="2105"/>
      <c r="Y2" s="2105"/>
      <c r="Z2" s="2105"/>
      <c r="AA2" s="2105"/>
      <c r="AB2" s="2105"/>
      <c r="AC2" s="2106"/>
      <c r="AD2" s="2104" t="e">
        <f>INDEX(PT_DIFFERENTIATION_NTAR,MATCH(A2,PT_DIFFERENTIATION_NTAR_ID,0))</f>
        <v>#N/A</v>
      </c>
      <c r="AE2" s="2105"/>
      <c r="AF2" s="2105"/>
      <c r="AG2" s="2105"/>
      <c r="AH2" s="2105"/>
      <c r="AI2" s="2105"/>
      <c r="AJ2" s="2105"/>
      <c r="AK2" s="2105"/>
      <c r="AL2" s="2105"/>
      <c r="AM2" s="2105"/>
      <c r="AN2" s="2105"/>
      <c r="AO2" s="2105"/>
      <c r="AP2" s="2105"/>
      <c r="AQ2" s="2105"/>
      <c r="AR2" s="2105"/>
      <c r="AS2" s="2105"/>
      <c r="AT2" s="2105"/>
      <c r="AU2" s="2105"/>
      <c r="AV2" s="2105"/>
      <c r="AW2" s="2105"/>
      <c r="AX2" s="2105"/>
      <c r="AY2" s="2105"/>
      <c r="AZ2" s="2105"/>
      <c r="BA2" s="2105"/>
      <c r="BB2" s="2106"/>
      <c r="BC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68"/>
      <c r="BF2" s="368" t="str">
        <f t="shared" ref="BF2:BF8" si="0">IF(T2="","",T2)</f>
        <v>Наименование тарифа</v>
      </c>
      <c r="BG2" s="368"/>
      <c r="BH2" s="368"/>
    </row>
    <row r="3" spans="1:60" ht="21" hidden="1" customHeight="1">
      <c r="A3" s="1143"/>
      <c r="B3" s="1143"/>
      <c r="C3" s="1143"/>
      <c r="D3" s="1143"/>
      <c r="E3" s="2112"/>
      <c r="F3" s="2111">
        <v>1</v>
      </c>
      <c r="G3" s="1143"/>
      <c r="H3" s="1143"/>
      <c r="I3" s="1143"/>
      <c r="J3" s="1143"/>
      <c r="K3" s="1143"/>
      <c r="L3" s="1144"/>
      <c r="M3" s="1145"/>
      <c r="N3" s="1145"/>
      <c r="O3" s="1145"/>
      <c r="P3" s="1190"/>
      <c r="Q3" s="1191"/>
      <c r="R3" s="234"/>
      <c r="S3" s="1237" t="e">
        <f>INDEX(PT_DIFFERENTIATION_NUM_TER,MATCH(B3,PT_DIFFERENTIATION_TER_ID,0))</f>
        <v>#N/A</v>
      </c>
      <c r="T3" s="185" t="s">
        <v>323</v>
      </c>
      <c r="U3" s="175"/>
      <c r="V3" s="2105"/>
      <c r="W3" s="2105"/>
      <c r="X3" s="2105"/>
      <c r="Y3" s="2105"/>
      <c r="Z3" s="2105"/>
      <c r="AA3" s="2105"/>
      <c r="AB3" s="2105"/>
      <c r="AC3" s="2106"/>
      <c r="AD3" s="2104" t="e">
        <f>INDEX(PT_DIFFERENTIATION_TER,MATCH(B3,PT_DIFFERENTIATION_TER_ID,0))</f>
        <v>#N/A</v>
      </c>
      <c r="AE3" s="2105"/>
      <c r="AF3" s="2105"/>
      <c r="AG3" s="2105"/>
      <c r="AH3" s="2105"/>
      <c r="AI3" s="2105"/>
      <c r="AJ3" s="2105"/>
      <c r="AK3" s="2105"/>
      <c r="AL3" s="2105"/>
      <c r="AM3" s="2105"/>
      <c r="AN3" s="2105"/>
      <c r="AO3" s="2105"/>
      <c r="AP3" s="2105"/>
      <c r="AQ3" s="2105"/>
      <c r="AR3" s="2105"/>
      <c r="AS3" s="2105"/>
      <c r="AT3" s="2105"/>
      <c r="AU3" s="2105"/>
      <c r="AV3" s="2105"/>
      <c r="AW3" s="2105"/>
      <c r="AX3" s="2105"/>
      <c r="AY3" s="2105"/>
      <c r="AZ3" s="2105"/>
      <c r="BA3" s="2105"/>
      <c r="BB3" s="2106"/>
      <c r="BC3" s="1044" t="s">
        <v>324</v>
      </c>
      <c r="BE3" s="368"/>
      <c r="BF3" s="368" t="str">
        <f t="shared" si="0"/>
        <v>Территория действия тарифа</v>
      </c>
      <c r="BG3" s="368"/>
      <c r="BH3" s="368"/>
    </row>
    <row r="4" spans="1:60" ht="42" hidden="1" customHeight="1">
      <c r="A4" s="1143"/>
      <c r="B4" s="1143"/>
      <c r="C4" s="1143"/>
      <c r="D4" s="1143"/>
      <c r="E4" s="2112"/>
      <c r="F4" s="2112"/>
      <c r="G4" s="2111">
        <v>1</v>
      </c>
      <c r="H4" s="1143"/>
      <c r="I4" s="1143"/>
      <c r="J4" s="1143"/>
      <c r="K4" s="1143"/>
      <c r="L4" s="1144"/>
      <c r="M4" s="1145"/>
      <c r="N4" s="1145"/>
      <c r="O4" s="1145"/>
      <c r="P4" s="1192"/>
      <c r="Q4" s="1191"/>
      <c r="R4" s="234"/>
      <c r="S4" s="1237" t="e">
        <f>INDEX(PT_DIFFERENTIATION_NUM_CS,MATCH(C4,PT_DIFFERENTIATION_CS_ID,0))</f>
        <v>#N/A</v>
      </c>
      <c r="T4" s="186" t="s">
        <v>407</v>
      </c>
      <c r="U4" s="175"/>
      <c r="V4" s="2105"/>
      <c r="W4" s="2105"/>
      <c r="X4" s="2105"/>
      <c r="Y4" s="2105"/>
      <c r="Z4" s="2105"/>
      <c r="AA4" s="2105"/>
      <c r="AB4" s="2105"/>
      <c r="AC4" s="2106"/>
      <c r="AD4" s="2104" t="e">
        <f>INDEX(PT_DIFFERENTIATION_CS,MATCH(C4,PT_DIFFERENTIATION_CS_ID,0))</f>
        <v>#N/A</v>
      </c>
      <c r="AE4" s="2105"/>
      <c r="AF4" s="2105"/>
      <c r="AG4" s="2105"/>
      <c r="AH4" s="2105"/>
      <c r="AI4" s="2105"/>
      <c r="AJ4" s="2105"/>
      <c r="AK4" s="2105"/>
      <c r="AL4" s="2105"/>
      <c r="AM4" s="2105"/>
      <c r="AN4" s="2105"/>
      <c r="AO4" s="2105"/>
      <c r="AP4" s="2105"/>
      <c r="AQ4" s="2105"/>
      <c r="AR4" s="2105"/>
      <c r="AS4" s="2105"/>
      <c r="AT4" s="2105"/>
      <c r="AU4" s="2105"/>
      <c r="AV4" s="2105"/>
      <c r="AW4" s="2105"/>
      <c r="AX4" s="2105"/>
      <c r="AY4" s="2105"/>
      <c r="AZ4" s="2105"/>
      <c r="BA4" s="2105"/>
      <c r="BB4" s="2106"/>
      <c r="BC4" s="1044" t="s">
        <v>408</v>
      </c>
      <c r="BE4" s="368"/>
      <c r="BF4" s="368" t="str">
        <f t="shared" si="0"/>
        <v>Наименование централизованной системы холодного водоснабжения</v>
      </c>
      <c r="BG4" s="368"/>
      <c r="BH4" s="368"/>
    </row>
    <row r="5" spans="1:60" s="1622" customFormat="1" ht="14.25" hidden="1" customHeight="1">
      <c r="A5" s="1124"/>
      <c r="B5" s="1124"/>
      <c r="C5" s="1124"/>
      <c r="D5" s="1124"/>
      <c r="E5" s="2112"/>
      <c r="F5" s="2112"/>
      <c r="G5" s="2112"/>
      <c r="H5" s="2111">
        <v>1</v>
      </c>
      <c r="I5" s="1124"/>
      <c r="J5" s="1124"/>
      <c r="K5" s="1124"/>
      <c r="L5" s="1127"/>
      <c r="M5" s="1097"/>
      <c r="N5" s="1097"/>
      <c r="O5" s="1097"/>
      <c r="P5" s="1267"/>
      <c r="Q5" s="1268"/>
      <c r="R5" s="238"/>
      <c r="S5" s="825"/>
      <c r="T5" s="1269"/>
      <c r="U5" s="1164"/>
      <c r="V5" s="2141"/>
      <c r="W5" s="2141"/>
      <c r="X5" s="2141"/>
      <c r="Y5" s="2141"/>
      <c r="Z5" s="2141"/>
      <c r="AA5" s="2141"/>
      <c r="AB5" s="2141"/>
      <c r="AC5" s="2142"/>
      <c r="AD5" s="2140"/>
      <c r="AE5" s="2141"/>
      <c r="AF5" s="2141"/>
      <c r="AG5" s="2141"/>
      <c r="AH5" s="2141"/>
      <c r="AI5" s="2141"/>
      <c r="AJ5" s="2141"/>
      <c r="AK5" s="2141"/>
      <c r="AL5" s="2141"/>
      <c r="AM5" s="2141"/>
      <c r="AN5" s="2141"/>
      <c r="AO5" s="2141"/>
      <c r="AP5" s="2141"/>
      <c r="AQ5" s="2141"/>
      <c r="AR5" s="2141"/>
      <c r="AS5" s="2141"/>
      <c r="AT5" s="2141"/>
      <c r="AU5" s="2141"/>
      <c r="AV5" s="2141"/>
      <c r="AW5" s="2141"/>
      <c r="AX5" s="2141"/>
      <c r="AY5" s="2141"/>
      <c r="AZ5" s="2141"/>
      <c r="BA5" s="2141"/>
      <c r="BB5" s="2142"/>
      <c r="BC5" s="1165" t="s">
        <v>328</v>
      </c>
      <c r="BE5" s="368"/>
      <c r="BF5" s="368" t="str">
        <f t="shared" si="0"/>
        <v/>
      </c>
      <c r="BG5" s="368"/>
      <c r="BH5" s="368"/>
    </row>
    <row r="6" spans="1:60" s="1622" customFormat="1" ht="14.25" hidden="1" customHeight="1">
      <c r="A6" s="1124"/>
      <c r="B6" s="1124"/>
      <c r="C6" s="1124"/>
      <c r="D6" s="1124"/>
      <c r="E6" s="2112"/>
      <c r="F6" s="2112"/>
      <c r="G6" s="2112"/>
      <c r="H6" s="2112"/>
      <c r="I6" s="2113" t="str">
        <f>S5&amp;".1"</f>
        <v>.1</v>
      </c>
      <c r="J6" s="1124"/>
      <c r="K6" s="1124"/>
      <c r="L6" s="1127" t="s">
        <v>329</v>
      </c>
      <c r="M6" s="378"/>
      <c r="N6" s="378"/>
      <c r="O6" s="378"/>
      <c r="P6" s="2115">
        <v>1</v>
      </c>
      <c r="Q6" s="1234"/>
      <c r="R6" s="237"/>
      <c r="S6" s="825"/>
      <c r="T6" s="1163"/>
      <c r="U6" s="1164"/>
      <c r="V6" s="2141"/>
      <c r="W6" s="2141"/>
      <c r="X6" s="2141"/>
      <c r="Y6" s="2141"/>
      <c r="Z6" s="2141"/>
      <c r="AA6" s="2141"/>
      <c r="AB6" s="2141"/>
      <c r="AC6" s="2142"/>
      <c r="AD6" s="2140"/>
      <c r="AE6" s="2141"/>
      <c r="AF6" s="2141"/>
      <c r="AG6" s="2141"/>
      <c r="AH6" s="2141"/>
      <c r="AI6" s="2141"/>
      <c r="AJ6" s="2141"/>
      <c r="AK6" s="2141"/>
      <c r="AL6" s="2141"/>
      <c r="AM6" s="2141"/>
      <c r="AN6" s="2141"/>
      <c r="AO6" s="2141"/>
      <c r="AP6" s="2141"/>
      <c r="AQ6" s="2141"/>
      <c r="AR6" s="2141"/>
      <c r="AS6" s="2141"/>
      <c r="AT6" s="2141"/>
      <c r="AU6" s="2141"/>
      <c r="AV6" s="2141"/>
      <c r="AW6" s="2141"/>
      <c r="AX6" s="2141"/>
      <c r="AY6" s="2141"/>
      <c r="AZ6" s="2141"/>
      <c r="BA6" s="2141"/>
      <c r="BB6" s="2142"/>
      <c r="BC6" s="1165"/>
      <c r="BE6" s="368"/>
      <c r="BF6" s="368" t="str">
        <f t="shared" si="0"/>
        <v/>
      </c>
      <c r="BG6" s="368"/>
      <c r="BH6" s="368"/>
    </row>
    <row r="7" spans="1:60" s="1622" customFormat="1" ht="14.25" hidden="1" customHeight="1">
      <c r="A7" s="1124"/>
      <c r="B7" s="1124"/>
      <c r="C7" s="1124"/>
      <c r="D7" s="1124"/>
      <c r="E7" s="2112"/>
      <c r="F7" s="2112"/>
      <c r="G7" s="2112"/>
      <c r="H7" s="2112"/>
      <c r="I7" s="2114"/>
      <c r="J7" s="2113" t="str">
        <f>S5&amp;".1"</f>
        <v>.1</v>
      </c>
      <c r="K7" s="1124"/>
      <c r="L7" s="1127"/>
      <c r="M7" s="378"/>
      <c r="N7" s="378"/>
      <c r="O7" s="378"/>
      <c r="P7" s="2115"/>
      <c r="Q7" s="2115">
        <v>1</v>
      </c>
      <c r="R7" s="238"/>
      <c r="S7" s="825"/>
      <c r="T7" s="1179"/>
      <c r="U7" s="1164"/>
      <c r="V7" s="2141"/>
      <c r="W7" s="2141"/>
      <c r="X7" s="2141"/>
      <c r="Y7" s="2141"/>
      <c r="Z7" s="2141"/>
      <c r="AA7" s="2141"/>
      <c r="AB7" s="2141"/>
      <c r="AC7" s="2142"/>
      <c r="AD7" s="2140"/>
      <c r="AE7" s="2141"/>
      <c r="AF7" s="2141"/>
      <c r="AG7" s="2141"/>
      <c r="AH7" s="2141"/>
      <c r="AI7" s="2141"/>
      <c r="AJ7" s="2141"/>
      <c r="AK7" s="2141"/>
      <c r="AL7" s="2141"/>
      <c r="AM7" s="2141"/>
      <c r="AN7" s="2141"/>
      <c r="AO7" s="2141"/>
      <c r="AP7" s="2141"/>
      <c r="AQ7" s="2141"/>
      <c r="AR7" s="2141"/>
      <c r="AS7" s="2141"/>
      <c r="AT7" s="2141"/>
      <c r="AU7" s="2141"/>
      <c r="AV7" s="2141"/>
      <c r="AW7" s="2141"/>
      <c r="AX7" s="2141"/>
      <c r="AY7" s="2141"/>
      <c r="AZ7" s="2141"/>
      <c r="BA7" s="2141"/>
      <c r="BB7" s="2142"/>
      <c r="BC7" s="1165"/>
      <c r="BE7" s="368"/>
      <c r="BF7" s="368" t="str">
        <f t="shared" si="0"/>
        <v/>
      </c>
      <c r="BG7" s="368"/>
      <c r="BH7" s="368"/>
    </row>
    <row r="8" spans="1:60" ht="11.25" hidden="1" customHeight="1">
      <c r="A8" s="1143"/>
      <c r="B8" s="1143"/>
      <c r="C8" s="1143"/>
      <c r="D8" s="1143"/>
      <c r="E8" s="2112"/>
      <c r="F8" s="2112"/>
      <c r="G8" s="2112"/>
      <c r="H8" s="2112"/>
      <c r="I8" s="2114"/>
      <c r="J8" s="2114"/>
      <c r="K8" s="2113" t="e">
        <f>S4&amp;".1"</f>
        <v>#N/A</v>
      </c>
      <c r="L8" s="1144"/>
      <c r="P8" s="2115"/>
      <c r="Q8" s="2115"/>
      <c r="R8" s="2164">
        <v>1</v>
      </c>
      <c r="S8" s="2161" t="e">
        <f>$K8</f>
        <v>#N/A</v>
      </c>
      <c r="T8" s="2180"/>
      <c r="U8" s="175"/>
      <c r="V8" s="576"/>
      <c r="W8" s="1043"/>
      <c r="X8" s="576"/>
      <c r="Y8" s="1043"/>
      <c r="Z8" s="1474"/>
      <c r="AA8" s="1232" t="s">
        <v>16</v>
      </c>
      <c r="AB8" s="1474"/>
      <c r="AC8" s="1232" t="s">
        <v>16</v>
      </c>
      <c r="AD8" s="2049" t="s">
        <v>16</v>
      </c>
      <c r="AE8" s="2157"/>
      <c r="AF8" s="2063">
        <v>1</v>
      </c>
      <c r="AG8" s="2179"/>
      <c r="AH8" s="2109" t="s">
        <v>16</v>
      </c>
      <c r="AI8" s="2157"/>
      <c r="AJ8" s="2063">
        <v>1</v>
      </c>
      <c r="AK8" s="2178" t="s">
        <v>1</v>
      </c>
      <c r="AL8" s="2109" t="s">
        <v>16</v>
      </c>
      <c r="AM8" s="2037"/>
      <c r="AN8" s="2063">
        <v>1</v>
      </c>
      <c r="AO8" s="2183"/>
      <c r="AP8" s="2184" t="s">
        <v>16</v>
      </c>
      <c r="AQ8" s="188"/>
      <c r="AR8" s="1235">
        <v>1</v>
      </c>
      <c r="AS8" s="1238" t="s">
        <v>1</v>
      </c>
      <c r="AT8" s="576"/>
      <c r="AU8" s="1043"/>
      <c r="AV8" s="576"/>
      <c r="AW8" s="1043"/>
      <c r="AX8" s="1474"/>
      <c r="AY8" s="1232" t="s">
        <v>16</v>
      </c>
      <c r="AZ8" s="1474"/>
      <c r="BA8" s="1232" t="s">
        <v>16</v>
      </c>
      <c r="BB8" s="1129"/>
      <c r="BC8" s="2134" t="s">
        <v>425</v>
      </c>
      <c r="BE8" s="368"/>
      <c r="BF8" s="368" t="str">
        <f t="shared" si="0"/>
        <v/>
      </c>
      <c r="BG8" s="368"/>
      <c r="BH8" s="368"/>
    </row>
    <row r="9" spans="1:60" ht="11.25" hidden="1" customHeight="1">
      <c r="A9" s="1143"/>
      <c r="B9" s="1143"/>
      <c r="C9" s="1143"/>
      <c r="D9" s="1143"/>
      <c r="E9" s="2112"/>
      <c r="F9" s="2112"/>
      <c r="G9" s="2112"/>
      <c r="H9" s="2112"/>
      <c r="I9" s="2114"/>
      <c r="J9" s="2114"/>
      <c r="K9" s="2113"/>
      <c r="L9" s="1144"/>
      <c r="P9" s="2115"/>
      <c r="Q9" s="2115"/>
      <c r="R9" s="2164"/>
      <c r="S9" s="2162"/>
      <c r="T9" s="2181"/>
      <c r="U9" s="175"/>
      <c r="V9" s="1173"/>
      <c r="W9" s="1266"/>
      <c r="X9" s="1173"/>
      <c r="Y9" s="1266"/>
      <c r="Z9" s="1173"/>
      <c r="AA9" s="1173"/>
      <c r="AB9" s="1173"/>
      <c r="AC9" s="1173"/>
      <c r="AD9" s="2050"/>
      <c r="AE9" s="2157"/>
      <c r="AF9" s="2063"/>
      <c r="AG9" s="2179"/>
      <c r="AH9" s="2109"/>
      <c r="AI9" s="2157"/>
      <c r="AJ9" s="2063"/>
      <c r="AK9" s="2178"/>
      <c r="AL9" s="2109"/>
      <c r="AM9" s="2042"/>
      <c r="AN9" s="2063"/>
      <c r="AO9" s="2183"/>
      <c r="AP9" s="2185"/>
      <c r="AQ9" s="195"/>
      <c r="AR9" s="296"/>
      <c r="AS9" s="296" t="s">
        <v>426</v>
      </c>
      <c r="AT9" s="1173"/>
      <c r="AU9" s="1266"/>
      <c r="AV9" s="1173"/>
      <c r="AW9" s="1266"/>
      <c r="AX9" s="1173"/>
      <c r="AY9" s="1173"/>
      <c r="AZ9" s="1173"/>
      <c r="BA9" s="1173"/>
      <c r="BB9" s="1177"/>
      <c r="BC9" s="2135"/>
      <c r="BE9" s="368"/>
      <c r="BF9" s="368"/>
      <c r="BG9" s="368"/>
      <c r="BH9" s="368"/>
    </row>
    <row r="10" spans="1:60" ht="11.25" hidden="1" customHeight="1">
      <c r="A10" s="1143"/>
      <c r="B10" s="1143"/>
      <c r="C10" s="1143"/>
      <c r="D10" s="1143"/>
      <c r="E10" s="2112"/>
      <c r="F10" s="2112"/>
      <c r="G10" s="2112"/>
      <c r="H10" s="2112"/>
      <c r="I10" s="2114"/>
      <c r="J10" s="2114"/>
      <c r="K10" s="2113"/>
      <c r="L10" s="1144"/>
      <c r="P10" s="2115"/>
      <c r="Q10" s="2115"/>
      <c r="R10" s="2164"/>
      <c r="S10" s="2162"/>
      <c r="T10" s="2181"/>
      <c r="U10" s="175"/>
      <c r="V10" s="1173"/>
      <c r="W10" s="1266"/>
      <c r="X10" s="1173"/>
      <c r="Y10" s="1266"/>
      <c r="Z10" s="1173"/>
      <c r="AA10" s="1173"/>
      <c r="AB10" s="1173"/>
      <c r="AC10" s="1173"/>
      <c r="AD10" s="2050"/>
      <c r="AE10" s="2157"/>
      <c r="AF10" s="2063"/>
      <c r="AG10" s="2179"/>
      <c r="AH10" s="2109"/>
      <c r="AI10" s="2157"/>
      <c r="AJ10" s="2063"/>
      <c r="AK10" s="2178"/>
      <c r="AL10" s="2109"/>
      <c r="AM10" s="195"/>
      <c r="AN10" s="1270"/>
      <c r="AO10" s="1270" t="s">
        <v>427</v>
      </c>
      <c r="AP10" s="296"/>
      <c r="AQ10" s="296"/>
      <c r="AR10" s="296"/>
      <c r="AS10" s="1173"/>
      <c r="AT10" s="1173"/>
      <c r="AU10" s="1266"/>
      <c r="AV10" s="1173"/>
      <c r="AW10" s="1266"/>
      <c r="AX10" s="1173"/>
      <c r="AY10" s="1173"/>
      <c r="AZ10" s="1173"/>
      <c r="BA10" s="1173"/>
      <c r="BB10" s="1177"/>
      <c r="BC10" s="2135"/>
      <c r="BE10" s="368"/>
      <c r="BF10" s="368"/>
      <c r="BG10" s="368"/>
      <c r="BH10" s="368"/>
    </row>
    <row r="11" spans="1:60" ht="11.25" hidden="1" customHeight="1">
      <c r="A11" s="1143"/>
      <c r="B11" s="1143"/>
      <c r="C11" s="1143"/>
      <c r="D11" s="1143"/>
      <c r="E11" s="2112"/>
      <c r="F11" s="2112"/>
      <c r="G11" s="2112"/>
      <c r="H11" s="2112"/>
      <c r="I11" s="2114"/>
      <c r="J11" s="2114"/>
      <c r="K11" s="2113"/>
      <c r="L11" s="1144"/>
      <c r="P11" s="2115"/>
      <c r="Q11" s="2115"/>
      <c r="R11" s="2164"/>
      <c r="S11" s="2162"/>
      <c r="T11" s="2181"/>
      <c r="U11" s="175"/>
      <c r="V11" s="1173"/>
      <c r="W11" s="1266"/>
      <c r="X11" s="1173"/>
      <c r="Y11" s="1266"/>
      <c r="Z11" s="1173"/>
      <c r="AA11" s="1173"/>
      <c r="AB11" s="1173"/>
      <c r="AC11" s="1173"/>
      <c r="AD11" s="2050"/>
      <c r="AE11" s="2157"/>
      <c r="AF11" s="2063"/>
      <c r="AG11" s="2179"/>
      <c r="AH11" s="2109"/>
      <c r="AI11" s="169"/>
      <c r="AJ11" s="295"/>
      <c r="AK11" s="190" t="s">
        <v>428</v>
      </c>
      <c r="AL11" s="1173"/>
      <c r="AM11" s="1173"/>
      <c r="AN11" s="1173"/>
      <c r="AO11" s="1173"/>
      <c r="AP11" s="1173"/>
      <c r="AQ11" s="1173"/>
      <c r="AR11" s="1173"/>
      <c r="AS11" s="1173"/>
      <c r="AT11" s="1173"/>
      <c r="AU11" s="1266"/>
      <c r="AV11" s="1173"/>
      <c r="AW11" s="1266"/>
      <c r="AX11" s="1173"/>
      <c r="AY11" s="1173"/>
      <c r="AZ11" s="1173"/>
      <c r="BA11" s="1173"/>
      <c r="BB11" s="1177"/>
      <c r="BC11" s="2135"/>
      <c r="BE11" s="368"/>
      <c r="BF11" s="368"/>
      <c r="BG11" s="368"/>
      <c r="BH11" s="368"/>
    </row>
    <row r="12" spans="1:60" ht="11.25" hidden="1" customHeight="1">
      <c r="A12" s="1143"/>
      <c r="B12" s="1143"/>
      <c r="C12" s="1143"/>
      <c r="D12" s="1143"/>
      <c r="E12" s="2112"/>
      <c r="F12" s="2112"/>
      <c r="G12" s="2112"/>
      <c r="H12" s="2112"/>
      <c r="I12" s="2114"/>
      <c r="J12" s="2114"/>
      <c r="K12" s="2113"/>
      <c r="L12" s="1144"/>
      <c r="P12" s="2115"/>
      <c r="Q12" s="2115"/>
      <c r="R12" s="2164"/>
      <c r="S12" s="2163"/>
      <c r="T12" s="2182"/>
      <c r="U12" s="175"/>
      <c r="V12" s="1173"/>
      <c r="W12" s="1174" t="str">
        <f>Z8&amp;"-"&amp;AB8</f>
        <v>-</v>
      </c>
      <c r="X12" s="1173"/>
      <c r="Y12" s="1174" t="str">
        <f>AB8&amp;"-"&amp;AD8</f>
        <v>-да</v>
      </c>
      <c r="Z12" s="1173"/>
      <c r="AA12" s="1173"/>
      <c r="AB12" s="1173"/>
      <c r="AC12" s="1173"/>
      <c r="AD12" s="2051"/>
      <c r="AE12" s="189"/>
      <c r="AF12" s="191"/>
      <c r="AG12" s="296" t="s">
        <v>429</v>
      </c>
      <c r="AH12" s="1173"/>
      <c r="AI12" s="1173"/>
      <c r="AJ12" s="1173"/>
      <c r="AK12" s="1173"/>
      <c r="AL12" s="1173"/>
      <c r="AM12" s="1173"/>
      <c r="AN12" s="1173"/>
      <c r="AO12" s="1173"/>
      <c r="AP12" s="1173"/>
      <c r="AQ12" s="1173"/>
      <c r="AR12" s="1173"/>
      <c r="AS12" s="1173"/>
      <c r="AT12" s="1173"/>
      <c r="AU12" s="1174" t="str">
        <f>AX8&amp;"-"&amp;AZ8</f>
        <v>-</v>
      </c>
      <c r="AV12" s="1173"/>
      <c r="AW12" s="1174" t="str">
        <f>AZ8&amp;"-"&amp;BB8</f>
        <v>-</v>
      </c>
      <c r="AX12" s="1173"/>
      <c r="AY12" s="1173"/>
      <c r="AZ12" s="1173"/>
      <c r="BA12" s="1173"/>
      <c r="BB12" s="1176" t="str">
        <f>BE8&amp;"-"&amp;BG8</f>
        <v>-</v>
      </c>
      <c r="BC12" s="2135"/>
      <c r="BE12" s="368"/>
      <c r="BF12" s="368" t="str">
        <f t="shared" ref="BF12:BF18" si="1">IF(T12="","",T12)</f>
        <v/>
      </c>
      <c r="BG12" s="368"/>
      <c r="BH12" s="368"/>
    </row>
    <row r="13" spans="1:60" ht="11.25" hidden="1" customHeight="1">
      <c r="A13" s="1143"/>
      <c r="B13" s="1143"/>
      <c r="C13" s="1143"/>
      <c r="D13" s="1143"/>
      <c r="E13" s="2112"/>
      <c r="F13" s="2112"/>
      <c r="G13" s="2112"/>
      <c r="H13" s="2112"/>
      <c r="I13" s="2114"/>
      <c r="J13" s="2113"/>
      <c r="K13" s="1143"/>
      <c r="L13" s="1144"/>
      <c r="P13" s="2115"/>
      <c r="Q13" s="2115"/>
      <c r="R13" s="237"/>
      <c r="S13" s="1062"/>
      <c r="T13" s="163" t="s">
        <v>393</v>
      </c>
      <c r="U13" s="251"/>
      <c r="V13" s="251"/>
      <c r="W13" s="251"/>
      <c r="X13" s="251"/>
      <c r="Y13" s="251"/>
      <c r="Z13" s="251"/>
      <c r="AA13" s="251"/>
      <c r="AB13" s="251"/>
      <c r="AC13" s="251"/>
      <c r="AD13" s="1275"/>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06"/>
      <c r="BC13" s="2136"/>
      <c r="BE13" s="368"/>
      <c r="BF13" s="368" t="str">
        <f t="shared" si="1"/>
        <v>Добавить строку</v>
      </c>
      <c r="BG13" s="368"/>
      <c r="BH13" s="368"/>
    </row>
    <row r="14" spans="1:60" s="1622" customFormat="1" ht="14.25" hidden="1" customHeight="1">
      <c r="A14" s="1124"/>
      <c r="B14" s="1124"/>
      <c r="C14" s="1124"/>
      <c r="D14" s="1124"/>
      <c r="E14" s="2112"/>
      <c r="F14" s="2112"/>
      <c r="G14" s="2112"/>
      <c r="H14" s="2112"/>
      <c r="I14" s="2113"/>
      <c r="J14" s="1124"/>
      <c r="K14" s="1124"/>
      <c r="L14" s="1127"/>
      <c r="M14" s="378"/>
      <c r="N14" s="378"/>
      <c r="O14" s="378"/>
      <c r="P14" s="2115"/>
      <c r="Q14" s="1234"/>
      <c r="R14" s="237"/>
      <c r="S14" s="1166"/>
      <c r="T14" s="1167"/>
      <c r="U14" s="1168"/>
      <c r="V14" s="1168"/>
      <c r="W14" s="1168"/>
      <c r="X14" s="1168"/>
      <c r="Y14" s="1168"/>
      <c r="Z14" s="1168"/>
      <c r="AA14" s="1168"/>
      <c r="AB14" s="1168"/>
      <c r="AC14" s="1168"/>
      <c r="AD14" s="1168"/>
      <c r="AE14" s="1168"/>
      <c r="AF14" s="1168"/>
      <c r="AG14" s="1168"/>
      <c r="AH14" s="1168"/>
      <c r="AI14" s="1168"/>
      <c r="AJ14" s="1168"/>
      <c r="AK14" s="1168"/>
      <c r="AL14" s="1168"/>
      <c r="AM14" s="1168"/>
      <c r="AN14" s="1168"/>
      <c r="AO14" s="1168"/>
      <c r="AP14" s="1168"/>
      <c r="AQ14" s="1168"/>
      <c r="AR14" s="1168"/>
      <c r="AS14" s="1168"/>
      <c r="AT14" s="1168"/>
      <c r="AU14" s="1168"/>
      <c r="AV14" s="1168"/>
      <c r="AW14" s="1168"/>
      <c r="AX14" s="1168"/>
      <c r="AY14" s="1168"/>
      <c r="AZ14" s="1168"/>
      <c r="BA14" s="1168"/>
      <c r="BB14" s="1168"/>
      <c r="BC14" s="1169"/>
      <c r="BE14" s="368"/>
      <c r="BF14" s="368" t="str">
        <f t="shared" si="1"/>
        <v/>
      </c>
      <c r="BG14" s="368"/>
      <c r="BH14" s="368"/>
    </row>
    <row r="15" spans="1:60" s="1622" customFormat="1" ht="14.25" hidden="1" customHeight="1">
      <c r="A15" s="1124"/>
      <c r="B15" s="1124"/>
      <c r="C15" s="1124"/>
      <c r="D15" s="1124"/>
      <c r="E15" s="2112"/>
      <c r="F15" s="2112"/>
      <c r="G15" s="2112"/>
      <c r="H15" s="2111"/>
      <c r="I15" s="1124"/>
      <c r="J15" s="1124"/>
      <c r="K15" s="1124"/>
      <c r="L15" s="1127"/>
      <c r="M15" s="1097"/>
      <c r="N15" s="1097"/>
      <c r="O15" s="386"/>
      <c r="P15" s="269"/>
      <c r="Q15" s="1125"/>
      <c r="R15" s="1181"/>
      <c r="S15" s="1166"/>
      <c r="T15" s="1167"/>
      <c r="U15" s="1168"/>
      <c r="V15" s="1168"/>
      <c r="W15" s="1168"/>
      <c r="X15" s="1168"/>
      <c r="Y15" s="1168"/>
      <c r="Z15" s="1168"/>
      <c r="AA15" s="1168"/>
      <c r="AB15" s="1168"/>
      <c r="AC15" s="1168"/>
      <c r="AD15" s="1168"/>
      <c r="AE15" s="1168"/>
      <c r="AF15" s="1168"/>
      <c r="AG15" s="1168"/>
      <c r="AH15" s="1168"/>
      <c r="AI15" s="1168"/>
      <c r="AJ15" s="1168"/>
      <c r="AK15" s="1168"/>
      <c r="AL15" s="1168"/>
      <c r="AM15" s="1168"/>
      <c r="AN15" s="1168"/>
      <c r="AO15" s="1168"/>
      <c r="AP15" s="1168"/>
      <c r="AQ15" s="1168"/>
      <c r="AR15" s="1168"/>
      <c r="AS15" s="1168"/>
      <c r="AT15" s="1168"/>
      <c r="AU15" s="1168"/>
      <c r="AV15" s="1168"/>
      <c r="AW15" s="1168"/>
      <c r="AX15" s="1168"/>
      <c r="AY15" s="1168"/>
      <c r="AZ15" s="1168"/>
      <c r="BA15" s="1168"/>
      <c r="BB15" s="1168"/>
      <c r="BC15" s="1169"/>
      <c r="BE15" s="368"/>
      <c r="BF15" s="368" t="str">
        <f t="shared" si="1"/>
        <v/>
      </c>
      <c r="BG15" s="368"/>
      <c r="BH15" s="368"/>
    </row>
    <row r="16" spans="1:60" s="1686" customFormat="1" ht="14.25" hidden="1" customHeight="1">
      <c r="A16" s="1124"/>
      <c r="B16" s="1124"/>
      <c r="C16" s="1124"/>
      <c r="D16" s="1096"/>
      <c r="E16" s="2112"/>
      <c r="F16" s="2112"/>
      <c r="G16" s="2111"/>
      <c r="H16" s="1096"/>
      <c r="I16" s="1096"/>
      <c r="J16" s="1096"/>
      <c r="K16" s="1096"/>
      <c r="L16" s="1236"/>
      <c r="M16" s="1097"/>
      <c r="N16" s="1097"/>
      <c r="P16" s="1098"/>
      <c r="Q16" s="1099"/>
      <c r="R16" s="1098"/>
      <c r="S16" s="1104"/>
      <c r="T16" s="1107"/>
      <c r="U16" s="1106"/>
      <c r="V16" s="1106"/>
      <c r="W16" s="1106"/>
      <c r="X16" s="1106"/>
      <c r="Y16" s="1106"/>
      <c r="Z16" s="1106"/>
      <c r="AA16" s="1106"/>
      <c r="AB16" s="1106"/>
      <c r="AC16" s="1106"/>
      <c r="AD16" s="1106"/>
      <c r="AE16" s="1106"/>
      <c r="AF16" s="1106"/>
      <c r="AG16" s="1106"/>
      <c r="AH16" s="1106"/>
      <c r="AI16" s="1106"/>
      <c r="AJ16" s="1106"/>
      <c r="AK16" s="1106"/>
      <c r="AL16" s="1106"/>
      <c r="AM16" s="1106"/>
      <c r="AN16" s="1106"/>
      <c r="AO16" s="1106"/>
      <c r="AP16" s="1106"/>
      <c r="AQ16" s="1106"/>
      <c r="AR16" s="1106"/>
      <c r="AS16" s="1106"/>
      <c r="AT16" s="1106"/>
      <c r="AU16" s="1106"/>
      <c r="AV16" s="1106"/>
      <c r="AW16" s="1106"/>
      <c r="AX16" s="1106"/>
      <c r="AY16" s="1106"/>
      <c r="AZ16" s="1106"/>
      <c r="BA16" s="1106"/>
      <c r="BB16" s="1106"/>
      <c r="BC16" s="1106"/>
      <c r="BE16" s="598"/>
      <c r="BF16" s="598" t="str">
        <f t="shared" si="1"/>
        <v/>
      </c>
      <c r="BG16" s="598"/>
      <c r="BH16" s="598"/>
    </row>
    <row r="17" spans="1:60" s="1686" customFormat="1" ht="14.25" hidden="1" customHeight="1">
      <c r="A17" s="1124"/>
      <c r="B17" s="1124"/>
      <c r="C17" s="1096"/>
      <c r="D17" s="1096"/>
      <c r="E17" s="2112"/>
      <c r="F17" s="2111"/>
      <c r="G17" s="1096"/>
      <c r="H17" s="1096"/>
      <c r="I17" s="1096"/>
      <c r="J17" s="1096"/>
      <c r="K17" s="1096"/>
      <c r="L17" s="1236"/>
      <c r="M17" s="1103"/>
      <c r="N17" s="1103"/>
      <c r="P17" s="1098"/>
      <c r="Q17" s="1099"/>
      <c r="R17" s="1098"/>
      <c r="S17" s="1104"/>
      <c r="T17" s="1107" t="s">
        <v>341</v>
      </c>
      <c r="U17" s="1106"/>
      <c r="V17" s="1106"/>
      <c r="W17" s="1106"/>
      <c r="X17" s="1106"/>
      <c r="Y17" s="1106"/>
      <c r="Z17" s="1106"/>
      <c r="AA17" s="1106"/>
      <c r="AB17" s="1106"/>
      <c r="AC17" s="1106"/>
      <c r="AD17" s="1106"/>
      <c r="AE17" s="1106"/>
      <c r="AF17" s="1106"/>
      <c r="AG17" s="1106"/>
      <c r="AH17" s="1106"/>
      <c r="AI17" s="1106"/>
      <c r="AJ17" s="1106"/>
      <c r="AK17" s="1106"/>
      <c r="AL17" s="1106"/>
      <c r="AM17" s="1106"/>
      <c r="AN17" s="1106"/>
      <c r="AO17" s="1106"/>
      <c r="AP17" s="1106"/>
      <c r="AQ17" s="1106"/>
      <c r="AR17" s="1106"/>
      <c r="AS17" s="1106"/>
      <c r="AT17" s="1106"/>
      <c r="AU17" s="1106"/>
      <c r="AV17" s="1106"/>
      <c r="AW17" s="1106"/>
      <c r="AX17" s="1106"/>
      <c r="AY17" s="1106"/>
      <c r="AZ17" s="1106"/>
      <c r="BA17" s="1106"/>
      <c r="BB17" s="1106"/>
      <c r="BC17" s="1106"/>
      <c r="BE17" s="598"/>
      <c r="BF17" s="598" t="str">
        <f t="shared" si="1"/>
        <v>Добавить централизованную систему для дифференциации</v>
      </c>
      <c r="BG17" s="598"/>
      <c r="BH17" s="598"/>
    </row>
    <row r="18" spans="1:60" s="1622" customFormat="1" ht="14.25" hidden="1" customHeight="1">
      <c r="A18" s="1124"/>
      <c r="B18" s="1124"/>
      <c r="C18" s="1124"/>
      <c r="D18" s="1124"/>
      <c r="E18" s="2111"/>
      <c r="F18" s="1124"/>
      <c r="G18" s="1124"/>
      <c r="H18" s="1124"/>
      <c r="I18" s="1124"/>
      <c r="J18" s="1124"/>
      <c r="K18" s="1124"/>
      <c r="L18" s="1127"/>
      <c r="M18" s="1103"/>
      <c r="N18" s="1103"/>
      <c r="O18" s="386"/>
      <c r="P18" s="269"/>
      <c r="Q18" s="1125"/>
      <c r="R18" s="269"/>
      <c r="S18" s="1104"/>
      <c r="T18" s="1107" t="s">
        <v>342</v>
      </c>
      <c r="U18" s="1106"/>
      <c r="V18" s="1106"/>
      <c r="W18" s="1106"/>
      <c r="X18" s="1106"/>
      <c r="Y18" s="1106"/>
      <c r="Z18" s="1106"/>
      <c r="AA18" s="1106"/>
      <c r="AB18" s="1106"/>
      <c r="AC18" s="1106"/>
      <c r="AD18" s="1106"/>
      <c r="AE18" s="1106"/>
      <c r="AF18" s="1106"/>
      <c r="AG18" s="1106"/>
      <c r="AH18" s="1106"/>
      <c r="AI18" s="1106"/>
      <c r="AJ18" s="1106"/>
      <c r="AK18" s="1106"/>
      <c r="AL18" s="1106"/>
      <c r="AM18" s="1106"/>
      <c r="AN18" s="1106"/>
      <c r="AO18" s="1106"/>
      <c r="AP18" s="1106"/>
      <c r="AQ18" s="1106"/>
      <c r="AR18" s="1106"/>
      <c r="AS18" s="1106"/>
      <c r="AT18" s="1106"/>
      <c r="AU18" s="1106"/>
      <c r="AV18" s="1106"/>
      <c r="AW18" s="1106"/>
      <c r="AX18" s="1106"/>
      <c r="AY18" s="1106"/>
      <c r="AZ18" s="1106"/>
      <c r="BA18" s="1106"/>
      <c r="BB18" s="1106"/>
      <c r="BC18" s="1106"/>
      <c r="BE18" s="368"/>
      <c r="BF18" s="368" t="str">
        <f t="shared" si="1"/>
        <v>Добавить территорию для дифференциации</v>
      </c>
      <c r="BG18" s="368"/>
      <c r="BH18" s="368"/>
    </row>
    <row r="19" spans="1:60" ht="14.25" hidden="1" customHeight="1">
      <c r="AC19" s="210"/>
      <c r="BA19" s="210"/>
    </row>
    <row r="20" spans="1:60" ht="14.25" hidden="1" customHeight="1">
      <c r="AD20" s="1106" t="s">
        <v>15</v>
      </c>
      <c r="AE20" s="1271"/>
      <c r="AF20" s="406">
        <v>1</v>
      </c>
      <c r="AG20" s="1272"/>
      <c r="AH20" s="1106" t="s">
        <v>15</v>
      </c>
      <c r="AI20" s="1271"/>
      <c r="AJ20" s="406">
        <v>1</v>
      </c>
      <c r="AK20" s="1272"/>
      <c r="AL20" s="1106" t="s">
        <v>15</v>
      </c>
      <c r="AM20" s="1273"/>
      <c r="AN20" s="406">
        <v>1</v>
      </c>
      <c r="AO20" s="1274"/>
      <c r="AP20" s="1106" t="s">
        <v>15</v>
      </c>
      <c r="AQ20" s="1273"/>
      <c r="AR20" s="406">
        <v>1</v>
      </c>
      <c r="AS20" s="1274"/>
      <c r="AT20" s="207"/>
      <c r="AU20" s="274"/>
      <c r="AV20" s="207"/>
      <c r="AW20" s="274"/>
      <c r="AX20" s="1476"/>
      <c r="AY20" s="1233" t="s">
        <v>16</v>
      </c>
      <c r="AZ20" s="1476"/>
      <c r="BA20" s="1233" t="s">
        <v>16</v>
      </c>
    </row>
    <row r="21" spans="1:60" ht="14.25" hidden="1" customHeight="1">
      <c r="BD21" s="364"/>
      <c r="BE21" s="364"/>
      <c r="BF21" s="364"/>
      <c r="BG21" s="364"/>
      <c r="BH21" s="364"/>
    </row>
    <row r="22" spans="1:60" ht="14.25" hidden="1" customHeight="1">
      <c r="O22" s="1147" t="s">
        <v>343</v>
      </c>
      <c r="Z22" s="1126"/>
      <c r="AB22" s="1126"/>
      <c r="AC22" s="210"/>
      <c r="AX22" s="1126"/>
      <c r="AZ22" s="1126"/>
      <c r="BA22" s="210"/>
      <c r="BD22" s="364"/>
      <c r="BE22" s="364"/>
      <c r="BF22" s="364"/>
      <c r="BG22" s="364"/>
      <c r="BH22" s="364"/>
    </row>
    <row r="23" spans="1:60" ht="14.25" hidden="1" customHeight="1">
      <c r="AC23" s="210"/>
      <c r="BA23" s="210"/>
      <c r="BD23" s="364"/>
      <c r="BE23" s="364"/>
      <c r="BF23" s="364"/>
      <c r="BG23" s="364"/>
      <c r="BH23" s="364"/>
    </row>
    <row r="24" spans="1:60" s="1700" customFormat="1" ht="14.25" hidden="1" customHeight="1">
      <c r="M24" s="1278"/>
      <c r="N24" s="1278"/>
      <c r="O24" s="1279" t="s">
        <v>344</v>
      </c>
      <c r="P24" s="1278"/>
      <c r="Q24" s="1280"/>
      <c r="R24" s="1280"/>
      <c r="AA24" s="1277" t="s">
        <v>346</v>
      </c>
      <c r="AC24" s="1277" t="s">
        <v>347</v>
      </c>
      <c r="AD24" s="1277" t="s">
        <v>394</v>
      </c>
      <c r="AH24" s="1277" t="s">
        <v>394</v>
      </c>
      <c r="AK24" s="1277" t="s">
        <v>430</v>
      </c>
      <c r="AL24" s="1277" t="s">
        <v>394</v>
      </c>
      <c r="AP24" s="1277" t="s">
        <v>394</v>
      </c>
      <c r="AY24" s="1277" t="s">
        <v>346</v>
      </c>
      <c r="BA24" s="1277" t="s">
        <v>347</v>
      </c>
      <c r="BD24" s="1281"/>
      <c r="BE24" s="1281"/>
      <c r="BF24" s="1281"/>
      <c r="BG24" s="1281"/>
      <c r="BH24" s="1281"/>
    </row>
    <row r="25" spans="1:60" ht="14.25" hidden="1" customHeight="1">
      <c r="O25" s="1144"/>
      <c r="BD25" s="364"/>
      <c r="BE25" s="364"/>
      <c r="BF25" s="364"/>
      <c r="BG25" s="364"/>
      <c r="BH25" s="364"/>
    </row>
    <row r="26" spans="1:60" ht="14.25" hidden="1" customHeight="1">
      <c r="O26" s="1144"/>
      <c r="BD26" s="364"/>
      <c r="BE26" s="364"/>
      <c r="BF26" s="364"/>
      <c r="BG26" s="364"/>
      <c r="BH26" s="364"/>
    </row>
    <row r="27" spans="1:60" ht="14.25" customHeight="1">
      <c r="Q27" s="167"/>
      <c r="R27" s="261"/>
      <c r="S27" s="1059"/>
      <c r="T27" s="246"/>
      <c r="U27" s="246"/>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row>
    <row r="28" spans="1:60" ht="14.25" customHeight="1">
      <c r="Q28" s="167"/>
      <c r="R28" s="261"/>
      <c r="S28" s="208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88"/>
      <c r="U28" s="2088"/>
      <c r="V28" s="2088"/>
      <c r="W28" s="2088"/>
      <c r="X28" s="2088"/>
      <c r="Y28" s="2088"/>
      <c r="Z28" s="2088"/>
      <c r="AA28" s="2088"/>
      <c r="AB28" s="2088"/>
      <c r="AC28" s="2088"/>
      <c r="AD28" s="2088"/>
      <c r="AE28" s="2088"/>
      <c r="AF28" s="2088"/>
      <c r="AG28" s="2088"/>
      <c r="AH28" s="2088"/>
      <c r="AI28" s="2088"/>
      <c r="AJ28" s="2088"/>
      <c r="AK28" s="2088"/>
      <c r="AL28" s="2088"/>
      <c r="AM28" s="2088"/>
      <c r="AN28" s="2088"/>
      <c r="AO28" s="2088"/>
      <c r="AP28" s="2088"/>
      <c r="AQ28" s="2088"/>
      <c r="AR28" s="2088"/>
      <c r="AS28" s="2088"/>
      <c r="AT28" s="2088"/>
      <c r="AU28" s="2088"/>
      <c r="AV28" s="2088"/>
      <c r="AW28" s="2088"/>
      <c r="AX28" s="2088"/>
      <c r="AY28" s="2088"/>
      <c r="AZ28" s="2088"/>
      <c r="BA28" s="1019"/>
    </row>
    <row r="29" spans="1:60" ht="14.25" customHeight="1">
      <c r="Q29" s="167"/>
      <c r="R29" s="261"/>
      <c r="S29" s="2059" t="e">
        <f>IF(org=0,"Не определено",org)</f>
        <v>#REF!</v>
      </c>
      <c r="T29" s="2059"/>
      <c r="U29" s="2059"/>
      <c r="V29" s="2059"/>
      <c r="W29" s="2059"/>
      <c r="X29" s="2059"/>
      <c r="Y29" s="2059"/>
      <c r="Z29" s="2059"/>
      <c r="AA29" s="2059"/>
      <c r="AB29" s="2059"/>
      <c r="AC29" s="2059"/>
      <c r="AD29" s="2059"/>
      <c r="AE29" s="2059"/>
      <c r="AF29" s="2059"/>
      <c r="AG29" s="2059"/>
      <c r="AH29" s="2059"/>
      <c r="AI29" s="2059"/>
      <c r="AJ29" s="2059"/>
      <c r="AK29" s="2059"/>
      <c r="AL29" s="2059"/>
      <c r="AM29" s="2059"/>
      <c r="AN29" s="2059"/>
      <c r="AO29" s="2059"/>
      <c r="AP29" s="2059"/>
      <c r="AQ29" s="2059"/>
      <c r="AR29" s="2059"/>
      <c r="AS29" s="2059"/>
      <c r="AT29" s="2059"/>
      <c r="AU29" s="2059"/>
      <c r="AV29" s="2059"/>
      <c r="AW29" s="2059"/>
      <c r="AX29" s="2059"/>
      <c r="AY29" s="2059"/>
      <c r="AZ29" s="2059"/>
      <c r="BA29" s="1019"/>
    </row>
    <row r="30" spans="1:60" ht="14.25" hidden="1" customHeight="1">
      <c r="Q30" s="167"/>
      <c r="R30" s="261"/>
      <c r="S30" s="1059"/>
      <c r="T30" s="246"/>
      <c r="U30" s="246"/>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377"/>
    </row>
    <row r="31" spans="1:60" s="1692" customFormat="1" ht="25.5" hidden="1" customHeight="1">
      <c r="A31" s="1148"/>
      <c r="B31" s="1148"/>
      <c r="C31" s="1148"/>
      <c r="D31" s="1148"/>
      <c r="E31" s="1148"/>
      <c r="F31" s="1148"/>
      <c r="G31" s="1148"/>
      <c r="H31" s="1148"/>
      <c r="I31" s="1148"/>
      <c r="J31" s="1148"/>
      <c r="K31" s="1148"/>
      <c r="L31" s="1149"/>
      <c r="M31" s="1148"/>
      <c r="N31" s="1148"/>
      <c r="O31" s="1148"/>
      <c r="P31" s="1148"/>
      <c r="Q31" s="1148"/>
      <c r="S31" s="2101" t="s">
        <v>6</v>
      </c>
      <c r="T31" s="2101"/>
      <c r="U31" s="1152"/>
      <c r="V31" s="2103" t="e">
        <f>IF(TITLE_NAME_OR_PR_CHANGE="",IF(TITLE_NAME_OR_PR="","",TITLE_NAME_OR_PR),TITLE_NAME_OR_PR_CHANGE)</f>
        <v>#REF!</v>
      </c>
      <c r="W31" s="2103"/>
      <c r="X31" s="2103"/>
      <c r="Y31" s="2103"/>
      <c r="Z31" s="2103"/>
      <c r="AA31" s="2103"/>
      <c r="AB31" s="2103"/>
      <c r="AC31" s="209"/>
      <c r="AD31" s="2103" t="e">
        <f>IF(TITLE_NAME_OR_PR_CHANGE="",IF(TITLE_NAME_OR_PR="","",TITLE_NAME_OR_PR),TITLE_NAME_OR_PR_CHANGE)</f>
        <v>#REF!</v>
      </c>
      <c r="AE31" s="2103"/>
      <c r="AF31" s="2103"/>
      <c r="AG31" s="2103"/>
      <c r="AH31" s="2103"/>
      <c r="AI31" s="2103"/>
      <c r="AJ31" s="2103"/>
      <c r="AK31" s="2103"/>
      <c r="AL31" s="2103"/>
      <c r="AM31" s="2103"/>
      <c r="AN31" s="2103"/>
      <c r="AO31" s="2103"/>
      <c r="AP31" s="2103"/>
      <c r="AQ31" s="2103"/>
      <c r="AR31" s="2103"/>
      <c r="AS31" s="2103"/>
      <c r="AT31" s="2103"/>
      <c r="AU31" s="2103"/>
      <c r="AV31" s="2103"/>
      <c r="AW31" s="2103"/>
      <c r="AX31" s="2103"/>
      <c r="AY31" s="2103"/>
      <c r="AZ31" s="2103"/>
      <c r="BA31" s="209"/>
      <c r="BB31" s="209"/>
      <c r="BC31" s="157"/>
      <c r="BD31" s="252"/>
      <c r="BE31" s="252"/>
      <c r="BF31" s="252"/>
      <c r="BG31" s="252"/>
      <c r="BH31" s="252"/>
    </row>
    <row r="32" spans="1:60" s="1692" customFormat="1" ht="18.75" hidden="1" customHeight="1">
      <c r="A32" s="1148"/>
      <c r="B32" s="1148"/>
      <c r="C32" s="1148"/>
      <c r="D32" s="1148"/>
      <c r="E32" s="1148"/>
      <c r="F32" s="1148"/>
      <c r="G32" s="1148"/>
      <c r="H32" s="1148"/>
      <c r="I32" s="1148"/>
      <c r="J32" s="1148"/>
      <c r="K32" s="1148"/>
      <c r="L32" s="1149"/>
      <c r="M32" s="1148"/>
      <c r="N32" s="1148"/>
      <c r="O32" s="1148"/>
      <c r="P32" s="1148"/>
      <c r="Q32" s="1148"/>
      <c r="S32" s="2101" t="s">
        <v>349</v>
      </c>
      <c r="T32" s="2101"/>
      <c r="U32" s="1152"/>
      <c r="V32" s="2102" t="e">
        <f>IF(TITLE_DATE_PR_CHANGE="",IF(TITLE_DATE_PR="","",TITLE_DATE_PR),TITLE_DATE_PR_CHANGE)</f>
        <v>#REF!</v>
      </c>
      <c r="W32" s="2102"/>
      <c r="X32" s="2102"/>
      <c r="Y32" s="2102"/>
      <c r="Z32" s="2102"/>
      <c r="AA32" s="2102"/>
      <c r="AB32" s="2102"/>
      <c r="AC32" s="209"/>
      <c r="AD32" s="2102" t="e">
        <f>IF(TITLE_DATE_PR_CHANGE="",IF(TITLE_DATE_PR="","",TITLE_DATE_PR),TITLE_DATE_PR_CHANGE)</f>
        <v>#REF!</v>
      </c>
      <c r="AE32" s="2102"/>
      <c r="AF32" s="2102"/>
      <c r="AG32" s="2102"/>
      <c r="AH32" s="2102"/>
      <c r="AI32" s="2102"/>
      <c r="AJ32" s="2102"/>
      <c r="AK32" s="2102"/>
      <c r="AL32" s="2102"/>
      <c r="AM32" s="2102"/>
      <c r="AN32" s="2102"/>
      <c r="AO32" s="2102"/>
      <c r="AP32" s="2102"/>
      <c r="AQ32" s="2102"/>
      <c r="AR32" s="2102"/>
      <c r="AS32" s="2102"/>
      <c r="AT32" s="2102"/>
      <c r="AU32" s="2102"/>
      <c r="AV32" s="2102"/>
      <c r="AW32" s="2102"/>
      <c r="AX32" s="2102"/>
      <c r="AY32" s="2102"/>
      <c r="AZ32" s="2102"/>
      <c r="BA32" s="209"/>
      <c r="BB32" s="209"/>
      <c r="BC32" s="157"/>
      <c r="BD32" s="252"/>
      <c r="BE32" s="252"/>
      <c r="BF32" s="252"/>
      <c r="BG32" s="252"/>
      <c r="BH32" s="252"/>
    </row>
    <row r="33" spans="1:60" s="1692" customFormat="1" ht="18.75" hidden="1" customHeight="1">
      <c r="A33" s="1148"/>
      <c r="B33" s="1148"/>
      <c r="C33" s="1148"/>
      <c r="D33" s="1148"/>
      <c r="E33" s="1148"/>
      <c r="F33" s="1148"/>
      <c r="G33" s="1148"/>
      <c r="H33" s="1148"/>
      <c r="I33" s="1148"/>
      <c r="J33" s="1148"/>
      <c r="K33" s="1148"/>
      <c r="L33" s="1149"/>
      <c r="M33" s="1148"/>
      <c r="N33" s="1148"/>
      <c r="O33" s="1148"/>
      <c r="P33" s="1148"/>
      <c r="Q33" s="1148"/>
      <c r="S33" s="2101" t="s">
        <v>350</v>
      </c>
      <c r="T33" s="2101"/>
      <c r="U33" s="1152"/>
      <c r="V33" s="2103" t="e">
        <f>IF(TITLE_NUMBER_PR_CHANGE="",IF(TITLE_NUMBER_PR="","",TITLE_NUMBER_PR),TITLE_NUMBER_PR_CHANGE)</f>
        <v>#REF!</v>
      </c>
      <c r="W33" s="2103"/>
      <c r="X33" s="2103"/>
      <c r="Y33" s="2103"/>
      <c r="Z33" s="2103"/>
      <c r="AA33" s="2103"/>
      <c r="AB33" s="2103"/>
      <c r="AC33" s="209"/>
      <c r="AD33" s="2103" t="e">
        <f>IF(TITLE_NUMBER_PR_CHANGE="",IF(TITLE_NUMBER_PR="","",TITLE_NUMBER_PR),TITLE_NUMBER_PR_CHANGE)</f>
        <v>#REF!</v>
      </c>
      <c r="AE33" s="2103"/>
      <c r="AF33" s="2103"/>
      <c r="AG33" s="2103"/>
      <c r="AH33" s="2103"/>
      <c r="AI33" s="2103"/>
      <c r="AJ33" s="2103"/>
      <c r="AK33" s="2103"/>
      <c r="AL33" s="2103"/>
      <c r="AM33" s="2103"/>
      <c r="AN33" s="2103"/>
      <c r="AO33" s="2103"/>
      <c r="AP33" s="2103"/>
      <c r="AQ33" s="2103"/>
      <c r="AR33" s="2103"/>
      <c r="AS33" s="2103"/>
      <c r="AT33" s="2103"/>
      <c r="AU33" s="2103"/>
      <c r="AV33" s="2103"/>
      <c r="AW33" s="2103"/>
      <c r="AX33" s="2103"/>
      <c r="AY33" s="2103"/>
      <c r="AZ33" s="2103"/>
      <c r="BA33" s="209"/>
      <c r="BB33" s="209"/>
      <c r="BC33" s="157"/>
      <c r="BD33" s="252"/>
      <c r="BE33" s="252"/>
      <c r="BF33" s="252"/>
      <c r="BG33" s="252"/>
      <c r="BH33" s="252"/>
    </row>
    <row r="34" spans="1:60" s="1692" customFormat="1" ht="18.75" hidden="1" customHeight="1">
      <c r="A34" s="1148"/>
      <c r="B34" s="1148"/>
      <c r="C34" s="1148"/>
      <c r="D34" s="1148"/>
      <c r="E34" s="1148"/>
      <c r="F34" s="1148"/>
      <c r="G34" s="1148"/>
      <c r="H34" s="1148"/>
      <c r="I34" s="1148"/>
      <c r="J34" s="1148"/>
      <c r="K34" s="1148"/>
      <c r="L34" s="1149"/>
      <c r="M34" s="1148"/>
      <c r="N34" s="1148"/>
      <c r="O34" s="1148"/>
      <c r="P34" s="1148"/>
      <c r="Q34" s="1148"/>
      <c r="S34" s="2101" t="s">
        <v>7</v>
      </c>
      <c r="T34" s="2101"/>
      <c r="U34" s="1152"/>
      <c r="V34" s="2103" t="e">
        <f>IF(TITLE_IST_PUB_CHANGE="",IF(TITLE_IST_PUB="","",TITLE_IST_PUB),TITLE_IST_PUB_CHANGE)</f>
        <v>#REF!</v>
      </c>
      <c r="W34" s="2103"/>
      <c r="X34" s="2103"/>
      <c r="Y34" s="2103"/>
      <c r="Z34" s="2103"/>
      <c r="AA34" s="2103"/>
      <c r="AB34" s="2103"/>
      <c r="AC34" s="209"/>
      <c r="AD34" s="2103" t="e">
        <f>IF(TITLE_IST_PUB_CHANGE="",IF(TITLE_IST_PUB="","",TITLE_IST_PUB),TITLE_IST_PUB_CHANGE)</f>
        <v>#REF!</v>
      </c>
      <c r="AE34" s="2103"/>
      <c r="AF34" s="2103"/>
      <c r="AG34" s="2103"/>
      <c r="AH34" s="2103"/>
      <c r="AI34" s="2103"/>
      <c r="AJ34" s="2103"/>
      <c r="AK34" s="2103"/>
      <c r="AL34" s="2103"/>
      <c r="AM34" s="2103"/>
      <c r="AN34" s="2103"/>
      <c r="AO34" s="2103"/>
      <c r="AP34" s="2103"/>
      <c r="AQ34" s="2103"/>
      <c r="AR34" s="2103"/>
      <c r="AS34" s="2103"/>
      <c r="AT34" s="2103"/>
      <c r="AU34" s="2103"/>
      <c r="AV34" s="2103"/>
      <c r="AW34" s="2103"/>
      <c r="AX34" s="2103"/>
      <c r="AY34" s="2103"/>
      <c r="AZ34" s="2103"/>
      <c r="BA34" s="209"/>
      <c r="BB34" s="209"/>
      <c r="BC34" s="157"/>
      <c r="BD34" s="252"/>
      <c r="BE34" s="252"/>
      <c r="BF34" s="252"/>
      <c r="BG34" s="252"/>
      <c r="BH34" s="252"/>
    </row>
    <row r="35" spans="1:60" ht="14.25" hidden="1" customHeight="1">
      <c r="Q35" s="167"/>
      <c r="R35" s="261"/>
      <c r="S35" s="1059"/>
      <c r="T35" s="246"/>
      <c r="U35" s="246"/>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377"/>
    </row>
    <row r="36" spans="1:60" s="1692" customFormat="1" ht="18.75" hidden="1" customHeight="1">
      <c r="A36" s="1148"/>
      <c r="B36" s="1148"/>
      <c r="C36" s="1148"/>
      <c r="D36" s="1148"/>
      <c r="E36" s="1148"/>
      <c r="F36" s="1148"/>
      <c r="G36" s="1148"/>
      <c r="H36" s="1148"/>
      <c r="I36" s="1148"/>
      <c r="J36" s="1148"/>
      <c r="K36" s="1148"/>
      <c r="L36" s="1149"/>
      <c r="M36" s="1148"/>
      <c r="N36" s="1148"/>
      <c r="O36" s="1148"/>
      <c r="P36" s="1148"/>
      <c r="Q36" s="1148"/>
      <c r="S36" s="2101" t="s">
        <v>349</v>
      </c>
      <c r="T36" s="2101"/>
      <c r="U36" s="1152"/>
      <c r="V36" s="2102" t="e">
        <f>IF(TITLE_DATE_PR_CHANGE="",IF(TITLE_DATE_PR="","",TITLE_DATE_PR),TITLE_DATE_PR_CHANGE)</f>
        <v>#REF!</v>
      </c>
      <c r="W36" s="2102"/>
      <c r="X36" s="2102"/>
      <c r="Y36" s="2102"/>
      <c r="Z36" s="2102"/>
      <c r="AA36" s="2102"/>
      <c r="AB36" s="2102"/>
      <c r="AC36" s="209"/>
      <c r="AD36" s="2102" t="e">
        <f>IF(TITLE_DATE_PR_CHANGE="",IF(TITLE_DATE_PR="","",TITLE_DATE_PR),TITLE_DATE_PR_CHANGE)</f>
        <v>#REF!</v>
      </c>
      <c r="AE36" s="2102"/>
      <c r="AF36" s="2102"/>
      <c r="AG36" s="2102"/>
      <c r="AH36" s="2102"/>
      <c r="AI36" s="2102"/>
      <c r="AJ36" s="2102"/>
      <c r="AK36" s="2102"/>
      <c r="AL36" s="2102"/>
      <c r="AM36" s="2102"/>
      <c r="AN36" s="2102"/>
      <c r="AO36" s="2102"/>
      <c r="AP36" s="2102"/>
      <c r="AQ36" s="2102"/>
      <c r="AR36" s="2102"/>
      <c r="AS36" s="2102"/>
      <c r="AT36" s="2102"/>
      <c r="AU36" s="2102"/>
      <c r="AV36" s="2102"/>
      <c r="AW36" s="2102"/>
      <c r="AX36" s="2102"/>
      <c r="AY36" s="2102"/>
      <c r="AZ36" s="2102"/>
      <c r="BA36" s="209"/>
      <c r="BB36" s="209"/>
      <c r="BC36" s="157"/>
      <c r="BD36" s="252"/>
      <c r="BE36" s="252"/>
      <c r="BF36" s="252"/>
      <c r="BG36" s="252"/>
      <c r="BH36" s="252"/>
    </row>
    <row r="37" spans="1:60" s="1692" customFormat="1" ht="18.75" hidden="1" customHeight="1">
      <c r="A37" s="1148"/>
      <c r="B37" s="1148"/>
      <c r="C37" s="1148"/>
      <c r="D37" s="1148"/>
      <c r="E37" s="1148"/>
      <c r="F37" s="1148"/>
      <c r="G37" s="1148"/>
      <c r="H37" s="1148"/>
      <c r="I37" s="1148"/>
      <c r="J37" s="1148"/>
      <c r="K37" s="1148"/>
      <c r="L37" s="1149"/>
      <c r="M37" s="1148"/>
      <c r="N37" s="1148"/>
      <c r="O37" s="1148"/>
      <c r="P37" s="1148"/>
      <c r="Q37" s="1148"/>
      <c r="S37" s="2101" t="s">
        <v>350</v>
      </c>
      <c r="T37" s="2101"/>
      <c r="U37" s="1152"/>
      <c r="V37" s="2103" t="e">
        <f>IF(TITLE_NUMBER_PR_CHANGE="",IF(TITLE_NUMBER_PR="","",TITLE_NUMBER_PR),TITLE_NUMBER_PR_CHANGE)</f>
        <v>#REF!</v>
      </c>
      <c r="W37" s="2103"/>
      <c r="X37" s="2103"/>
      <c r="Y37" s="2103"/>
      <c r="Z37" s="2103"/>
      <c r="AA37" s="2103"/>
      <c r="AB37" s="2103"/>
      <c r="AC37" s="209"/>
      <c r="AD37" s="2103" t="e">
        <f>IF(TITLE_NUMBER_PR_CHANGE="",IF(TITLE_NUMBER_PR="","",TITLE_NUMBER_PR),TITLE_NUMBER_PR_CHANGE)</f>
        <v>#REF!</v>
      </c>
      <c r="AE37" s="2103"/>
      <c r="AF37" s="2103"/>
      <c r="AG37" s="2103"/>
      <c r="AH37" s="2103"/>
      <c r="AI37" s="2103"/>
      <c r="AJ37" s="2103"/>
      <c r="AK37" s="2103"/>
      <c r="AL37" s="2103"/>
      <c r="AM37" s="2103"/>
      <c r="AN37" s="2103"/>
      <c r="AO37" s="2103"/>
      <c r="AP37" s="2103"/>
      <c r="AQ37" s="2103"/>
      <c r="AR37" s="2103"/>
      <c r="AS37" s="2103"/>
      <c r="AT37" s="2103"/>
      <c r="AU37" s="2103"/>
      <c r="AV37" s="2103"/>
      <c r="AW37" s="2103"/>
      <c r="AX37" s="2103"/>
      <c r="AY37" s="2103"/>
      <c r="AZ37" s="2103"/>
      <c r="BA37" s="209"/>
      <c r="BB37" s="209"/>
      <c r="BC37" s="157"/>
      <c r="BD37" s="252"/>
      <c r="BE37" s="252"/>
      <c r="BF37" s="252"/>
      <c r="BG37" s="252"/>
      <c r="BH37" s="252"/>
    </row>
    <row r="38" spans="1:60" s="1692" customFormat="1" ht="0" hidden="1" customHeight="1">
      <c r="A38" s="1148"/>
      <c r="B38" s="1148"/>
      <c r="C38" s="1148"/>
      <c r="D38" s="1148"/>
      <c r="E38" s="1148"/>
      <c r="F38" s="1148"/>
      <c r="G38" s="1148"/>
      <c r="H38" s="1148"/>
      <c r="I38" s="1148"/>
      <c r="J38" s="1148"/>
      <c r="K38" s="1148"/>
      <c r="L38" s="1149"/>
      <c r="M38" s="1148"/>
      <c r="N38" s="1148"/>
      <c r="O38" s="1148"/>
      <c r="P38" s="1148"/>
      <c r="Q38" s="1148"/>
      <c r="S38" s="205"/>
      <c r="T38" s="205"/>
      <c r="U38" s="1227"/>
      <c r="V38" s="209"/>
      <c r="W38" s="209"/>
      <c r="X38" s="209"/>
      <c r="Y38" s="209"/>
      <c r="Z38" s="209"/>
      <c r="AA38" s="209"/>
      <c r="AB38" s="209"/>
      <c r="AC38" s="155" t="s">
        <v>353</v>
      </c>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155" t="s">
        <v>353</v>
      </c>
      <c r="BD38" s="252"/>
      <c r="BE38" s="252"/>
      <c r="BF38" s="252"/>
      <c r="BG38" s="252"/>
      <c r="BH38" s="252"/>
    </row>
    <row r="39" spans="1:60" ht="14.25" customHeight="1">
      <c r="Q39" s="167"/>
      <c r="R39" s="261"/>
      <c r="S39" s="1059"/>
      <c r="T39" s="246"/>
      <c r="U39" s="1020"/>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r="40" spans="1:60" ht="14.25" customHeight="1">
      <c r="Q40" s="167"/>
      <c r="R40" s="261"/>
      <c r="S40" s="2025" t="s">
        <v>224</v>
      </c>
      <c r="T40" s="2025"/>
      <c r="U40" s="2025"/>
      <c r="V40" s="2025"/>
      <c r="W40" s="2025"/>
      <c r="X40" s="2025"/>
      <c r="Y40" s="2025"/>
      <c r="Z40" s="2025"/>
      <c r="AA40" s="2025"/>
      <c r="AB40" s="2025"/>
      <c r="AC40" s="2025"/>
      <c r="AD40" s="2025"/>
      <c r="AE40" s="2025"/>
      <c r="AF40" s="2025"/>
      <c r="AG40" s="2025"/>
      <c r="AH40" s="2025"/>
      <c r="AI40" s="2025"/>
      <c r="AJ40" s="2025"/>
      <c r="AK40" s="2025"/>
      <c r="AL40" s="2025"/>
      <c r="AM40" s="2025"/>
      <c r="AN40" s="2025"/>
      <c r="AO40" s="2025"/>
      <c r="AP40" s="2025"/>
      <c r="AQ40" s="2025"/>
      <c r="AR40" s="2025"/>
      <c r="AS40" s="2025"/>
      <c r="AT40" s="2025"/>
      <c r="AU40" s="2025"/>
      <c r="AV40" s="2025"/>
      <c r="AW40" s="2025"/>
      <c r="AX40" s="2025"/>
      <c r="AY40" s="2025"/>
      <c r="AZ40" s="2025"/>
      <c r="BA40" s="2025"/>
      <c r="BB40" s="2025"/>
      <c r="BC40" s="2025" t="s">
        <v>225</v>
      </c>
    </row>
    <row r="41" spans="1:60" ht="14.25" customHeight="1">
      <c r="Q41" s="167"/>
      <c r="R41" s="261"/>
      <c r="S41" s="2124" t="s">
        <v>22</v>
      </c>
      <c r="T41" s="2068" t="s">
        <v>431</v>
      </c>
      <c r="U41" s="176"/>
      <c r="V41" s="2125" t="s">
        <v>355</v>
      </c>
      <c r="W41" s="2126"/>
      <c r="X41" s="2126"/>
      <c r="Y41" s="2126"/>
      <c r="Z41" s="2126"/>
      <c r="AA41" s="2126"/>
      <c r="AB41" s="2127"/>
      <c r="AC41" s="2128" t="s">
        <v>356</v>
      </c>
      <c r="AD41" s="2150" t="s">
        <v>432</v>
      </c>
      <c r="AE41" s="2139"/>
      <c r="AF41" s="2139"/>
      <c r="AG41" s="2151"/>
      <c r="AH41" s="2150" t="s">
        <v>433</v>
      </c>
      <c r="AI41" s="2139"/>
      <c r="AJ41" s="2139"/>
      <c r="AK41" s="2151"/>
      <c r="AL41" s="2150" t="s">
        <v>434</v>
      </c>
      <c r="AM41" s="2139"/>
      <c r="AN41" s="2139"/>
      <c r="AO41" s="2151"/>
      <c r="AP41" s="2150" t="s">
        <v>435</v>
      </c>
      <c r="AQ41" s="2139"/>
      <c r="AR41" s="2139"/>
      <c r="AS41" s="2151"/>
      <c r="AT41" s="2125" t="s">
        <v>355</v>
      </c>
      <c r="AU41" s="2126"/>
      <c r="AV41" s="2126"/>
      <c r="AW41" s="2126"/>
      <c r="AX41" s="2126"/>
      <c r="AY41" s="2126"/>
      <c r="AZ41" s="2127"/>
      <c r="BA41" s="2128" t="s">
        <v>356</v>
      </c>
      <c r="BB41" s="2131" t="s">
        <v>358</v>
      </c>
      <c r="BC41" s="2025"/>
    </row>
    <row r="42" spans="1:60" ht="33.75" customHeight="1">
      <c r="Q42" s="167"/>
      <c r="R42" s="261"/>
      <c r="S42" s="2124"/>
      <c r="T42" s="2068"/>
      <c r="U42" s="814"/>
      <c r="V42" s="2037" t="s">
        <v>436</v>
      </c>
      <c r="W42" s="2038"/>
      <c r="X42" s="2037" t="s">
        <v>437</v>
      </c>
      <c r="Y42" s="2038"/>
      <c r="Z42" s="2037" t="s">
        <v>438</v>
      </c>
      <c r="AA42" s="2144"/>
      <c r="AB42" s="2038"/>
      <c r="AC42" s="2129"/>
      <c r="AD42" s="2152"/>
      <c r="AE42" s="2153"/>
      <c r="AF42" s="2153"/>
      <c r="AG42" s="2165"/>
      <c r="AH42" s="2152"/>
      <c r="AI42" s="2153"/>
      <c r="AJ42" s="2153"/>
      <c r="AK42" s="2165"/>
      <c r="AL42" s="2152"/>
      <c r="AM42" s="2153"/>
      <c r="AN42" s="2153"/>
      <c r="AO42" s="2165"/>
      <c r="AP42" s="2152"/>
      <c r="AQ42" s="2153"/>
      <c r="AR42" s="2153"/>
      <c r="AS42" s="2165"/>
      <c r="AT42" s="2037" t="s">
        <v>436</v>
      </c>
      <c r="AU42" s="2038"/>
      <c r="AV42" s="2037" t="s">
        <v>437</v>
      </c>
      <c r="AW42" s="2038"/>
      <c r="AX42" s="2037" t="s">
        <v>438</v>
      </c>
      <c r="AY42" s="2144"/>
      <c r="AZ42" s="2038"/>
      <c r="BA42" s="2129"/>
      <c r="BB42" s="2132"/>
      <c r="BC42" s="2025"/>
    </row>
    <row r="43" spans="1:60" ht="14.25" customHeight="1">
      <c r="Q43" s="167"/>
      <c r="R43" s="261"/>
      <c r="S43" s="2124"/>
      <c r="T43" s="2068"/>
      <c r="U43" s="814"/>
      <c r="V43" s="2042"/>
      <c r="W43" s="2043"/>
      <c r="X43" s="2042"/>
      <c r="Y43" s="2043"/>
      <c r="Z43" s="2042"/>
      <c r="AA43" s="2145"/>
      <c r="AB43" s="2043"/>
      <c r="AC43" s="2129"/>
      <c r="AD43" s="2152"/>
      <c r="AE43" s="2153"/>
      <c r="AF43" s="2153"/>
      <c r="AG43" s="2165"/>
      <c r="AH43" s="2152"/>
      <c r="AI43" s="2153"/>
      <c r="AJ43" s="2153"/>
      <c r="AK43" s="2165"/>
      <c r="AL43" s="2152"/>
      <c r="AM43" s="2153"/>
      <c r="AN43" s="2153"/>
      <c r="AO43" s="2165"/>
      <c r="AP43" s="2152"/>
      <c r="AQ43" s="2153"/>
      <c r="AR43" s="2153"/>
      <c r="AS43" s="2165"/>
      <c r="AT43" s="2042"/>
      <c r="AU43" s="2043"/>
      <c r="AV43" s="2042"/>
      <c r="AW43" s="2043"/>
      <c r="AX43" s="2042"/>
      <c r="AY43" s="2145"/>
      <c r="AZ43" s="2043"/>
      <c r="BA43" s="2129"/>
      <c r="BB43" s="2132"/>
      <c r="BC43" s="2025"/>
    </row>
    <row r="44" spans="1:60" ht="14.25" customHeight="1">
      <c r="A44" s="1150"/>
      <c r="B44" s="1150" t="s">
        <v>73</v>
      </c>
      <c r="C44" s="1150" t="s">
        <v>74</v>
      </c>
      <c r="D44" s="1150" t="s">
        <v>75</v>
      </c>
      <c r="E44" s="1144" t="s">
        <v>363</v>
      </c>
      <c r="F44" s="1144" t="s">
        <v>364</v>
      </c>
      <c r="G44" s="1144" t="s">
        <v>365</v>
      </c>
      <c r="H44" s="1144" t="s">
        <v>366</v>
      </c>
      <c r="I44" s="1144" t="s">
        <v>367</v>
      </c>
      <c r="J44" s="1144" t="s">
        <v>368</v>
      </c>
      <c r="K44" s="1144" t="s">
        <v>369</v>
      </c>
      <c r="L44" s="1144" t="s">
        <v>344</v>
      </c>
      <c r="Q44" s="167"/>
      <c r="R44" s="261"/>
      <c r="S44" s="2124"/>
      <c r="T44" s="2068"/>
      <c r="U44" s="177"/>
      <c r="V44" s="1221" t="s">
        <v>404</v>
      </c>
      <c r="W44" s="1221" t="s">
        <v>405</v>
      </c>
      <c r="X44" s="1221" t="s">
        <v>404</v>
      </c>
      <c r="Y44" s="1221" t="s">
        <v>405</v>
      </c>
      <c r="Z44" s="1228" t="s">
        <v>372</v>
      </c>
      <c r="AA44" s="2073" t="s">
        <v>373</v>
      </c>
      <c r="AB44" s="2087"/>
      <c r="AC44" s="2130"/>
      <c r="AD44" s="2154"/>
      <c r="AE44" s="2155"/>
      <c r="AF44" s="2155"/>
      <c r="AG44" s="2156"/>
      <c r="AH44" s="2154"/>
      <c r="AI44" s="2155"/>
      <c r="AJ44" s="2155"/>
      <c r="AK44" s="2156"/>
      <c r="AL44" s="2154"/>
      <c r="AM44" s="2155"/>
      <c r="AN44" s="2155"/>
      <c r="AO44" s="2156"/>
      <c r="AP44" s="2154"/>
      <c r="AQ44" s="2155"/>
      <c r="AR44" s="2155"/>
      <c r="AS44" s="2156"/>
      <c r="AT44" s="1221" t="s">
        <v>404</v>
      </c>
      <c r="AU44" s="1221" t="s">
        <v>405</v>
      </c>
      <c r="AV44" s="1221" t="s">
        <v>404</v>
      </c>
      <c r="AW44" s="1221" t="s">
        <v>405</v>
      </c>
      <c r="AX44" s="1228" t="s">
        <v>372</v>
      </c>
      <c r="AY44" s="2073" t="s">
        <v>373</v>
      </c>
      <c r="AZ44" s="2087"/>
      <c r="BA44" s="2130"/>
      <c r="BB44" s="2133"/>
      <c r="BC44" s="2025"/>
    </row>
    <row r="45" spans="1:60" s="1621" customFormat="1" ht="11.25" hidden="1" customHeight="1">
      <c r="A45" s="1150"/>
      <c r="B45" s="1150"/>
      <c r="C45" s="1150"/>
      <c r="D45" s="1150"/>
      <c r="E45" s="1150"/>
      <c r="F45" s="1150"/>
      <c r="G45" s="1150"/>
      <c r="H45" s="1150"/>
      <c r="I45" s="1150"/>
      <c r="J45" s="1150"/>
      <c r="K45" s="1150"/>
      <c r="L45" s="1144"/>
      <c r="M45" s="1142"/>
      <c r="N45" s="1142"/>
      <c r="O45" s="1142"/>
      <c r="P45" s="378"/>
      <c r="Q45" s="1038"/>
      <c r="R45" s="1038">
        <v>1</v>
      </c>
      <c r="S45" s="1061" t="s">
        <v>43</v>
      </c>
      <c r="T45" s="1039" t="s">
        <v>44</v>
      </c>
      <c r="U45" s="1021" t="str">
        <f ca="1">OFFSET(U45,0,-1)</f>
        <v>2</v>
      </c>
      <c r="V45" s="1224">
        <f t="shared" ref="V45:AA45" ca="1" si="2">OFFSET(V45,0,-1)+1</f>
        <v>3</v>
      </c>
      <c r="W45" s="1224">
        <f t="shared" ca="1" si="2"/>
        <v>4</v>
      </c>
      <c r="X45" s="1224">
        <f t="shared" ca="1" si="2"/>
        <v>5</v>
      </c>
      <c r="Y45" s="1224">
        <f t="shared" ca="1" si="2"/>
        <v>6</v>
      </c>
      <c r="Z45" s="1224">
        <f t="shared" ca="1" si="2"/>
        <v>7</v>
      </c>
      <c r="AA45" s="2122">
        <f t="shared" ca="1" si="2"/>
        <v>8</v>
      </c>
      <c r="AB45" s="2122"/>
      <c r="AC45" s="1224">
        <f ca="1">OFFSET(AC45,0,-2)+1</f>
        <v>9</v>
      </c>
      <c r="AD45" s="1224">
        <f ca="1">OFFSET(AD45,0,-1)+1</f>
        <v>10</v>
      </c>
      <c r="AE45" s="1224"/>
      <c r="AF45" s="1224"/>
      <c r="AG45" s="1224"/>
      <c r="AH45" s="1224"/>
      <c r="AI45" s="1224"/>
      <c r="AJ45" s="1224"/>
      <c r="AK45" s="1224"/>
      <c r="AL45" s="1224"/>
      <c r="AM45" s="1224"/>
      <c r="AN45" s="1224"/>
      <c r="AO45" s="1224"/>
      <c r="AP45" s="1224"/>
      <c r="AQ45" s="1224"/>
      <c r="AR45" s="1224"/>
      <c r="AS45" s="1224"/>
      <c r="AT45" s="1224"/>
      <c r="AU45" s="1224"/>
      <c r="AV45" s="1224"/>
      <c r="AW45" s="1224">
        <f ca="1">OFFSET(AW45,0,-1)+1</f>
        <v>1</v>
      </c>
      <c r="AX45" s="1224">
        <f ca="1">OFFSET(AX45,0,-1)+1</f>
        <v>2</v>
      </c>
      <c r="AY45" s="2122">
        <f ca="1">OFFSET(AY45,0,-1)+1</f>
        <v>3</v>
      </c>
      <c r="AZ45" s="2122"/>
      <c r="BA45" s="1224">
        <f ca="1">OFFSET(BA45,0,-2)+1</f>
        <v>4</v>
      </c>
      <c r="BB45" s="1021">
        <f ca="1">OFFSET(BB45,0,-1)</f>
        <v>4</v>
      </c>
      <c r="BC45" s="1224">
        <f ca="1">OFFSET(BC45,0,-1)+1</f>
        <v>5</v>
      </c>
      <c r="BD45" s="379"/>
      <c r="BE45" s="379"/>
      <c r="BF45" s="379"/>
      <c r="BG45" s="379"/>
      <c r="BH45" s="379"/>
    </row>
    <row r="46" spans="1:60" ht="21" customHeight="1">
      <c r="A46" s="1143" t="s">
        <v>170</v>
      </c>
      <c r="B46" s="1143"/>
      <c r="C46" s="1143"/>
      <c r="D46" s="1143"/>
      <c r="E46" s="2111">
        <v>1</v>
      </c>
      <c r="F46" s="1143"/>
      <c r="G46" s="1143"/>
      <c r="H46" s="1143"/>
      <c r="I46" s="1143"/>
      <c r="J46" s="1143"/>
      <c r="K46" s="1143"/>
      <c r="L46" s="1144"/>
      <c r="M46" s="1145"/>
      <c r="N46" s="1145"/>
      <c r="O46" s="1145"/>
      <c r="P46" s="1189"/>
      <c r="Q46" s="669"/>
      <c r="R46" s="236"/>
      <c r="S46" s="1230">
        <f>INDEX(PT_DIFFERENTIATION_NUM_NTAR,MATCH(A46,PT_DIFFERENTIATION_NTAR_ID,0))</f>
        <v>0</v>
      </c>
      <c r="T46" s="173" t="s">
        <v>61</v>
      </c>
      <c r="U46" s="175"/>
      <c r="V46" s="2105"/>
      <c r="W46" s="2105"/>
      <c r="X46" s="2105"/>
      <c r="Y46" s="2105"/>
      <c r="Z46" s="2105"/>
      <c r="AA46" s="2105"/>
      <c r="AB46" s="2105"/>
      <c r="AC46" s="2106"/>
      <c r="AD46" s="2104" t="str">
        <f>INDEX(PT_DIFFERENTIATION_NTAR,MATCH(A46,PT_DIFFERENTIATION_NTAR_ID,0))</f>
        <v/>
      </c>
      <c r="AE46" s="2105"/>
      <c r="AF46" s="2105"/>
      <c r="AG46" s="2105"/>
      <c r="AH46" s="2105"/>
      <c r="AI46" s="2105"/>
      <c r="AJ46" s="2105"/>
      <c r="AK46" s="2105"/>
      <c r="AL46" s="2105"/>
      <c r="AM46" s="2105"/>
      <c r="AN46" s="2105"/>
      <c r="AO46" s="2105"/>
      <c r="AP46" s="2105"/>
      <c r="AQ46" s="2105"/>
      <c r="AR46" s="2105"/>
      <c r="AS46" s="2105"/>
      <c r="AT46" s="2105"/>
      <c r="AU46" s="2105"/>
      <c r="AV46" s="2105"/>
      <c r="AW46" s="2105"/>
      <c r="AX46" s="2105"/>
      <c r="AY46" s="2105"/>
      <c r="AZ46" s="2105"/>
      <c r="BA46" s="2105"/>
      <c r="BB46" s="2106"/>
      <c r="BC46"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68"/>
      <c r="BF46" s="368" t="str">
        <f t="shared" ref="BF46:BF52" si="3">IF(T46="","",T46)</f>
        <v>Наименование тарифа</v>
      </c>
      <c r="BG46" s="368"/>
      <c r="BH46" s="368"/>
    </row>
    <row r="47" spans="1:60" ht="21" customHeight="1">
      <c r="A47" s="1143" t="s">
        <v>170</v>
      </c>
      <c r="B47" s="1143" t="s">
        <v>171</v>
      </c>
      <c r="C47" s="1143"/>
      <c r="D47" s="1143"/>
      <c r="E47" s="2112"/>
      <c r="F47" s="2111">
        <v>1</v>
      </c>
      <c r="G47" s="1143"/>
      <c r="H47" s="1143"/>
      <c r="I47" s="1143"/>
      <c r="J47" s="1143"/>
      <c r="K47" s="1143"/>
      <c r="L47" s="1144"/>
      <c r="M47" s="1145"/>
      <c r="N47" s="1145"/>
      <c r="O47" s="1145"/>
      <c r="P47" s="1190"/>
      <c r="Q47" s="1191"/>
      <c r="R47" s="234"/>
      <c r="S47" s="1230" t="str">
        <f>INDEX(PT_DIFFERENTIATION_NUM_TER,MATCH(B47,PT_DIFFERENTIATION_TER_ID,0))</f>
        <v>.</v>
      </c>
      <c r="T47" s="185" t="s">
        <v>323</v>
      </c>
      <c r="U47" s="175"/>
      <c r="V47" s="2105"/>
      <c r="W47" s="2105"/>
      <c r="X47" s="2105"/>
      <c r="Y47" s="2105"/>
      <c r="Z47" s="2105"/>
      <c r="AA47" s="2105"/>
      <c r="AB47" s="2105"/>
      <c r="AC47" s="2106"/>
      <c r="AD47" s="2104" t="str">
        <f>INDEX(PT_DIFFERENTIATION_TER,MATCH(B47,PT_DIFFERENTIATION_TER_ID,0))</f>
        <v/>
      </c>
      <c r="AE47" s="2105"/>
      <c r="AF47" s="2105"/>
      <c r="AG47" s="2105"/>
      <c r="AH47" s="2105"/>
      <c r="AI47" s="2105"/>
      <c r="AJ47" s="2105"/>
      <c r="AK47" s="2105"/>
      <c r="AL47" s="2105"/>
      <c r="AM47" s="2105"/>
      <c r="AN47" s="2105"/>
      <c r="AO47" s="2105"/>
      <c r="AP47" s="2105"/>
      <c r="AQ47" s="2105"/>
      <c r="AR47" s="2105"/>
      <c r="AS47" s="2105"/>
      <c r="AT47" s="2105"/>
      <c r="AU47" s="2105"/>
      <c r="AV47" s="2105"/>
      <c r="AW47" s="2105"/>
      <c r="AX47" s="2105"/>
      <c r="AY47" s="2105"/>
      <c r="AZ47" s="2105"/>
      <c r="BA47" s="2105"/>
      <c r="BB47" s="2106"/>
      <c r="BC47" s="1044" t="s">
        <v>324</v>
      </c>
      <c r="BE47" s="368"/>
      <c r="BF47" s="368" t="str">
        <f t="shared" si="3"/>
        <v>Территория действия тарифа</v>
      </c>
      <c r="BG47" s="368"/>
      <c r="BH47" s="368"/>
    </row>
    <row r="48" spans="1:60" ht="42" customHeight="1">
      <c r="A48" s="1143" t="s">
        <v>170</v>
      </c>
      <c r="B48" s="1143" t="s">
        <v>171</v>
      </c>
      <c r="C48" s="1143" t="s">
        <v>172</v>
      </c>
      <c r="D48" s="1143"/>
      <c r="E48" s="2112"/>
      <c r="F48" s="2112"/>
      <c r="G48" s="2111">
        <v>1</v>
      </c>
      <c r="H48" s="1143"/>
      <c r="I48" s="1143"/>
      <c r="J48" s="1143"/>
      <c r="K48" s="1143"/>
      <c r="L48" s="1144"/>
      <c r="M48" s="1145"/>
      <c r="N48" s="1145"/>
      <c r="O48" s="1145"/>
      <c r="P48" s="1192"/>
      <c r="Q48" s="1191"/>
      <c r="R48" s="234"/>
      <c r="S48" s="1230" t="str">
        <f>INDEX(PT_DIFFERENTIATION_NUM_CS,MATCH(C48,PT_DIFFERENTIATION_CS_ID,0))</f>
        <v>..</v>
      </c>
      <c r="T48" s="186" t="s">
        <v>407</v>
      </c>
      <c r="U48" s="175"/>
      <c r="V48" s="2105"/>
      <c r="W48" s="2105"/>
      <c r="X48" s="2105"/>
      <c r="Y48" s="2105"/>
      <c r="Z48" s="2105"/>
      <c r="AA48" s="2105"/>
      <c r="AB48" s="2105"/>
      <c r="AC48" s="2106"/>
      <c r="AD48" s="2104" t="str">
        <f>INDEX(PT_DIFFERENTIATION_CS,MATCH(C48,PT_DIFFERENTIATION_CS_ID,0))</f>
        <v/>
      </c>
      <c r="AE48" s="2105"/>
      <c r="AF48" s="2105"/>
      <c r="AG48" s="2105"/>
      <c r="AH48" s="2105"/>
      <c r="AI48" s="2105"/>
      <c r="AJ48" s="2105"/>
      <c r="AK48" s="2105"/>
      <c r="AL48" s="2105"/>
      <c r="AM48" s="2105"/>
      <c r="AN48" s="2105"/>
      <c r="AO48" s="2105"/>
      <c r="AP48" s="2105"/>
      <c r="AQ48" s="2105"/>
      <c r="AR48" s="2105"/>
      <c r="AS48" s="2105"/>
      <c r="AT48" s="2105"/>
      <c r="AU48" s="2105"/>
      <c r="AV48" s="2105"/>
      <c r="AW48" s="2105"/>
      <c r="AX48" s="2105"/>
      <c r="AY48" s="2105"/>
      <c r="AZ48" s="2105"/>
      <c r="BA48" s="2105"/>
      <c r="BB48" s="2106"/>
      <c r="BC48" s="1044" t="s">
        <v>408</v>
      </c>
      <c r="BE48" s="368"/>
      <c r="BF48" s="368" t="str">
        <f t="shared" si="3"/>
        <v>Наименование централизованной системы холодного водоснабжения</v>
      </c>
      <c r="BG48" s="368"/>
      <c r="BH48" s="368"/>
    </row>
    <row r="49" spans="1:60" s="1622" customFormat="1" ht="0" hidden="1" customHeight="1">
      <c r="A49" s="1124" t="s">
        <v>170</v>
      </c>
      <c r="B49" s="1124" t="s">
        <v>171</v>
      </c>
      <c r="C49" s="1124" t="s">
        <v>172</v>
      </c>
      <c r="D49" s="1124" t="s">
        <v>439</v>
      </c>
      <c r="E49" s="2112"/>
      <c r="F49" s="2112"/>
      <c r="G49" s="2112"/>
      <c r="H49" s="2111">
        <v>1</v>
      </c>
      <c r="I49" s="1124"/>
      <c r="J49" s="1124"/>
      <c r="K49" s="1124"/>
      <c r="L49" s="1127"/>
      <c r="M49" s="1097"/>
      <c r="N49" s="1097"/>
      <c r="O49" s="1097"/>
      <c r="P49" s="1267"/>
      <c r="Q49" s="1268"/>
      <c r="R49" s="238"/>
      <c r="S49" s="825"/>
      <c r="T49" s="1269"/>
      <c r="U49" s="1164"/>
      <c r="V49" s="2141"/>
      <c r="W49" s="2141"/>
      <c r="X49" s="2141"/>
      <c r="Y49" s="2141"/>
      <c r="Z49" s="2141"/>
      <c r="AA49" s="2141"/>
      <c r="AB49" s="2141"/>
      <c r="AC49" s="2142"/>
      <c r="AD49" s="2140"/>
      <c r="AE49" s="2141"/>
      <c r="AF49" s="2141"/>
      <c r="AG49" s="2141"/>
      <c r="AH49" s="2141"/>
      <c r="AI49" s="2141"/>
      <c r="AJ49" s="2141"/>
      <c r="AK49" s="2141"/>
      <c r="AL49" s="2141"/>
      <c r="AM49" s="2141"/>
      <c r="AN49" s="2141"/>
      <c r="AO49" s="2141"/>
      <c r="AP49" s="2141"/>
      <c r="AQ49" s="2141"/>
      <c r="AR49" s="2141"/>
      <c r="AS49" s="2141"/>
      <c r="AT49" s="2141"/>
      <c r="AU49" s="2141"/>
      <c r="AV49" s="2141"/>
      <c r="AW49" s="2141"/>
      <c r="AX49" s="2141"/>
      <c r="AY49" s="2141"/>
      <c r="AZ49" s="2141"/>
      <c r="BA49" s="2141"/>
      <c r="BB49" s="2142"/>
      <c r="BC49" s="1165" t="s">
        <v>328</v>
      </c>
      <c r="BE49" s="368"/>
      <c r="BF49" s="368" t="str">
        <f t="shared" si="3"/>
        <v/>
      </c>
      <c r="BG49" s="368"/>
      <c r="BH49" s="368"/>
    </row>
    <row r="50" spans="1:60" s="1622" customFormat="1" ht="0" hidden="1" customHeight="1">
      <c r="A50" s="1124" t="s">
        <v>170</v>
      </c>
      <c r="B50" s="1124" t="s">
        <v>171</v>
      </c>
      <c r="C50" s="1124" t="s">
        <v>172</v>
      </c>
      <c r="D50" s="1124" t="s">
        <v>439</v>
      </c>
      <c r="E50" s="2112"/>
      <c r="F50" s="2112"/>
      <c r="G50" s="2112"/>
      <c r="H50" s="2112"/>
      <c r="I50" s="2113" t="str">
        <f>S49&amp;".1"</f>
        <v>.1</v>
      </c>
      <c r="J50" s="1124"/>
      <c r="K50" s="1124"/>
      <c r="L50" s="1127" t="s">
        <v>329</v>
      </c>
      <c r="M50" s="378"/>
      <c r="N50" s="378"/>
      <c r="O50" s="378"/>
      <c r="P50" s="2115">
        <v>1</v>
      </c>
      <c r="Q50" s="1234"/>
      <c r="R50" s="237"/>
      <c r="S50" s="825"/>
      <c r="T50" s="1163"/>
      <c r="U50" s="1164"/>
      <c r="V50" s="2141"/>
      <c r="W50" s="2141"/>
      <c r="X50" s="2141"/>
      <c r="Y50" s="2141"/>
      <c r="Z50" s="2141"/>
      <c r="AA50" s="2141"/>
      <c r="AB50" s="2141"/>
      <c r="AC50" s="2142"/>
      <c r="AD50" s="2140"/>
      <c r="AE50" s="2141"/>
      <c r="AF50" s="2141"/>
      <c r="AG50" s="2141"/>
      <c r="AH50" s="2141"/>
      <c r="AI50" s="2141"/>
      <c r="AJ50" s="2141"/>
      <c r="AK50" s="2141"/>
      <c r="AL50" s="2141"/>
      <c r="AM50" s="2141"/>
      <c r="AN50" s="2141"/>
      <c r="AO50" s="2141"/>
      <c r="AP50" s="2141"/>
      <c r="AQ50" s="2141"/>
      <c r="AR50" s="2141"/>
      <c r="AS50" s="2141"/>
      <c r="AT50" s="2141"/>
      <c r="AU50" s="2141"/>
      <c r="AV50" s="2141"/>
      <c r="AW50" s="2141"/>
      <c r="AX50" s="2141"/>
      <c r="AY50" s="2141"/>
      <c r="AZ50" s="2141"/>
      <c r="BA50" s="2141"/>
      <c r="BB50" s="2142"/>
      <c r="BC50" s="1165"/>
      <c r="BE50" s="368"/>
      <c r="BF50" s="368" t="str">
        <f t="shared" si="3"/>
        <v/>
      </c>
      <c r="BG50" s="368"/>
      <c r="BH50" s="368"/>
    </row>
    <row r="51" spans="1:60" s="1622" customFormat="1" ht="0" hidden="1" customHeight="1">
      <c r="A51" s="1124" t="s">
        <v>170</v>
      </c>
      <c r="B51" s="1124" t="s">
        <v>171</v>
      </c>
      <c r="C51" s="1124" t="s">
        <v>172</v>
      </c>
      <c r="D51" s="1124" t="s">
        <v>439</v>
      </c>
      <c r="E51" s="2112"/>
      <c r="F51" s="2112"/>
      <c r="G51" s="2112"/>
      <c r="H51" s="2112"/>
      <c r="I51" s="2114"/>
      <c r="J51" s="2113" t="str">
        <f>S49&amp;".1"</f>
        <v>.1</v>
      </c>
      <c r="K51" s="1124"/>
      <c r="L51" s="1127"/>
      <c r="M51" s="378"/>
      <c r="N51" s="378"/>
      <c r="O51" s="378"/>
      <c r="P51" s="2115"/>
      <c r="Q51" s="2115">
        <v>1</v>
      </c>
      <c r="R51" s="238"/>
      <c r="S51" s="825"/>
      <c r="T51" s="1179"/>
      <c r="U51" s="1164"/>
      <c r="V51" s="2141"/>
      <c r="W51" s="2141"/>
      <c r="X51" s="2141"/>
      <c r="Y51" s="2141"/>
      <c r="Z51" s="2141"/>
      <c r="AA51" s="2141"/>
      <c r="AB51" s="2141"/>
      <c r="AC51" s="2142"/>
      <c r="AD51" s="2140"/>
      <c r="AE51" s="2141"/>
      <c r="AF51" s="2141"/>
      <c r="AG51" s="2141"/>
      <c r="AH51" s="2141"/>
      <c r="AI51" s="2141"/>
      <c r="AJ51" s="2141"/>
      <c r="AK51" s="2141"/>
      <c r="AL51" s="2141"/>
      <c r="AM51" s="2141"/>
      <c r="AN51" s="2186"/>
      <c r="AO51" s="2186"/>
      <c r="AP51" s="2141"/>
      <c r="AQ51" s="2141"/>
      <c r="AR51" s="2141"/>
      <c r="AS51" s="2141"/>
      <c r="AT51" s="2141"/>
      <c r="AU51" s="2141"/>
      <c r="AV51" s="2141"/>
      <c r="AW51" s="2141"/>
      <c r="AX51" s="2141"/>
      <c r="AY51" s="2141"/>
      <c r="AZ51" s="2141"/>
      <c r="BA51" s="2141"/>
      <c r="BB51" s="2142"/>
      <c r="BC51" s="1165"/>
      <c r="BE51" s="368"/>
      <c r="BF51" s="368" t="str">
        <f t="shared" si="3"/>
        <v/>
      </c>
      <c r="BG51" s="368"/>
      <c r="BH51" s="368"/>
    </row>
    <row r="52" spans="1:60" ht="11.25" customHeight="1">
      <c r="A52" s="1143" t="s">
        <v>170</v>
      </c>
      <c r="B52" s="1143" t="s">
        <v>171</v>
      </c>
      <c r="C52" s="1143" t="s">
        <v>172</v>
      </c>
      <c r="D52" s="1143" t="s">
        <v>439</v>
      </c>
      <c r="E52" s="2112"/>
      <c r="F52" s="2112"/>
      <c r="G52" s="2112"/>
      <c r="H52" s="2112"/>
      <c r="I52" s="2114"/>
      <c r="J52" s="2114"/>
      <c r="K52" s="2113" t="str">
        <f>S48&amp;".1"</f>
        <v>...1</v>
      </c>
      <c r="L52" s="1144"/>
      <c r="P52" s="2115"/>
      <c r="Q52" s="2115"/>
      <c r="R52" s="238">
        <v>1</v>
      </c>
      <c r="S52" s="2161" t="str">
        <f>$K52</f>
        <v>...1</v>
      </c>
      <c r="T52" s="2180"/>
      <c r="U52" s="175"/>
      <c r="V52" s="576"/>
      <c r="W52" s="1043"/>
      <c r="X52" s="576"/>
      <c r="Y52" s="1043"/>
      <c r="Z52" s="1474"/>
      <c r="AA52" s="1232" t="s">
        <v>16</v>
      </c>
      <c r="AB52" s="1474"/>
      <c r="AC52" s="1232" t="s">
        <v>16</v>
      </c>
      <c r="AD52" s="2049" t="s">
        <v>16</v>
      </c>
      <c r="AE52" s="2157"/>
      <c r="AF52" s="2063">
        <v>1</v>
      </c>
      <c r="AG52" s="2179"/>
      <c r="AH52" s="2109" t="s">
        <v>16</v>
      </c>
      <c r="AI52" s="2157"/>
      <c r="AJ52" s="2063">
        <v>1</v>
      </c>
      <c r="AK52" s="2178" t="s">
        <v>1</v>
      </c>
      <c r="AL52" s="2109" t="s">
        <v>16</v>
      </c>
      <c r="AM52" s="2037"/>
      <c r="AN52" s="2063">
        <v>1</v>
      </c>
      <c r="AO52" s="2183"/>
      <c r="AP52" s="2184" t="s">
        <v>16</v>
      </c>
      <c r="AQ52" s="188"/>
      <c r="AR52" s="1235">
        <v>1</v>
      </c>
      <c r="AS52" s="1238" t="s">
        <v>1</v>
      </c>
      <c r="AT52" s="576"/>
      <c r="AU52" s="1043"/>
      <c r="AV52" s="576"/>
      <c r="AW52" s="1043"/>
      <c r="AX52" s="1474"/>
      <c r="AY52" s="1232" t="s">
        <v>16</v>
      </c>
      <c r="AZ52" s="1474"/>
      <c r="BA52" s="1232" t="s">
        <v>16</v>
      </c>
      <c r="BB52" s="1129"/>
      <c r="BC52" s="2134" t="s">
        <v>425</v>
      </c>
      <c r="BE52" s="368"/>
      <c r="BF52" s="368" t="str">
        <f t="shared" si="3"/>
        <v/>
      </c>
      <c r="BG52" s="368"/>
      <c r="BH52" s="368"/>
    </row>
    <row r="53" spans="1:60" ht="11.25" customHeight="1">
      <c r="A53" s="1143"/>
      <c r="B53" s="1143"/>
      <c r="C53" s="1143"/>
      <c r="D53" s="1143"/>
      <c r="E53" s="2112"/>
      <c r="F53" s="2112"/>
      <c r="G53" s="2112"/>
      <c r="H53" s="2112"/>
      <c r="I53" s="2114"/>
      <c r="J53" s="2114"/>
      <c r="K53" s="2113"/>
      <c r="L53" s="1144"/>
      <c r="P53" s="2115"/>
      <c r="Q53" s="2115"/>
      <c r="R53" s="238"/>
      <c r="S53" s="2162"/>
      <c r="T53" s="2181"/>
      <c r="U53" s="175"/>
      <c r="V53" s="1173"/>
      <c r="W53" s="1266"/>
      <c r="X53" s="1173"/>
      <c r="Y53" s="1266"/>
      <c r="Z53" s="1173"/>
      <c r="AA53" s="1173"/>
      <c r="AB53" s="1173"/>
      <c r="AC53" s="1173"/>
      <c r="AD53" s="2050"/>
      <c r="AE53" s="2157"/>
      <c r="AF53" s="2063"/>
      <c r="AG53" s="2179"/>
      <c r="AH53" s="2109"/>
      <c r="AI53" s="2157"/>
      <c r="AJ53" s="2063"/>
      <c r="AK53" s="2178"/>
      <c r="AL53" s="2109"/>
      <c r="AM53" s="2042"/>
      <c r="AN53" s="2063"/>
      <c r="AO53" s="2183"/>
      <c r="AP53" s="2185"/>
      <c r="AQ53" s="195"/>
      <c r="AR53" s="296"/>
      <c r="AS53" s="296" t="s">
        <v>426</v>
      </c>
      <c r="AT53" s="1173"/>
      <c r="AU53" s="1266"/>
      <c r="AV53" s="1173"/>
      <c r="AW53" s="1266"/>
      <c r="AX53" s="1173"/>
      <c r="AY53" s="1173"/>
      <c r="AZ53" s="1173"/>
      <c r="BA53" s="1173"/>
      <c r="BB53" s="1177"/>
      <c r="BC53" s="2135"/>
      <c r="BE53" s="368"/>
      <c r="BF53" s="368"/>
      <c r="BG53" s="368"/>
      <c r="BH53" s="368"/>
    </row>
    <row r="54" spans="1:60" ht="11.25" customHeight="1">
      <c r="A54" s="1143" t="s">
        <v>170</v>
      </c>
      <c r="B54" s="1143"/>
      <c r="C54" s="1143"/>
      <c r="D54" s="1143"/>
      <c r="E54" s="2112"/>
      <c r="F54" s="2112"/>
      <c r="G54" s="2112"/>
      <c r="H54" s="2112"/>
      <c r="I54" s="2114"/>
      <c r="J54" s="2114"/>
      <c r="K54" s="2113"/>
      <c r="L54" s="1144"/>
      <c r="P54" s="2115"/>
      <c r="Q54" s="2115"/>
      <c r="R54" s="238"/>
      <c r="S54" s="2162"/>
      <c r="T54" s="2181"/>
      <c r="U54" s="175"/>
      <c r="V54" s="1173"/>
      <c r="W54" s="1266"/>
      <c r="X54" s="1173"/>
      <c r="Y54" s="1266"/>
      <c r="Z54" s="1173"/>
      <c r="AA54" s="1173"/>
      <c r="AB54" s="1173"/>
      <c r="AC54" s="1173"/>
      <c r="AD54" s="2050"/>
      <c r="AE54" s="2157"/>
      <c r="AF54" s="2063"/>
      <c r="AG54" s="2179"/>
      <c r="AH54" s="2109"/>
      <c r="AI54" s="2157"/>
      <c r="AJ54" s="2063"/>
      <c r="AK54" s="2178"/>
      <c r="AL54" s="2109"/>
      <c r="AM54" s="195"/>
      <c r="AN54" s="1270"/>
      <c r="AO54" s="1270" t="s">
        <v>427</v>
      </c>
      <c r="AP54" s="296"/>
      <c r="AQ54" s="296"/>
      <c r="AR54" s="296"/>
      <c r="AS54" s="1173"/>
      <c r="AT54" s="1173"/>
      <c r="AU54" s="1266"/>
      <c r="AV54" s="1173"/>
      <c r="AW54" s="1266"/>
      <c r="AX54" s="1173"/>
      <c r="AY54" s="1173"/>
      <c r="AZ54" s="1173"/>
      <c r="BA54" s="1173"/>
      <c r="BB54" s="1177"/>
      <c r="BC54" s="2135"/>
      <c r="BE54" s="368"/>
      <c r="BF54" s="368"/>
      <c r="BG54" s="368"/>
      <c r="BH54" s="368"/>
    </row>
    <row r="55" spans="1:60" ht="11.25" customHeight="1">
      <c r="A55" s="1143" t="s">
        <v>170</v>
      </c>
      <c r="B55" s="1143"/>
      <c r="C55" s="1143"/>
      <c r="D55" s="1143"/>
      <c r="E55" s="2112"/>
      <c r="F55" s="2112"/>
      <c r="G55" s="2112"/>
      <c r="H55" s="2112"/>
      <c r="I55" s="2114"/>
      <c r="J55" s="2114"/>
      <c r="K55" s="2113"/>
      <c r="L55" s="1144"/>
      <c r="P55" s="2115"/>
      <c r="Q55" s="2115"/>
      <c r="R55" s="238"/>
      <c r="S55" s="2162"/>
      <c r="T55" s="2181"/>
      <c r="U55" s="175"/>
      <c r="V55" s="1173"/>
      <c r="W55" s="1266"/>
      <c r="X55" s="1173"/>
      <c r="Y55" s="1266"/>
      <c r="Z55" s="1173"/>
      <c r="AA55" s="1173"/>
      <c r="AB55" s="1173"/>
      <c r="AC55" s="1173"/>
      <c r="AD55" s="2050"/>
      <c r="AE55" s="2157"/>
      <c r="AF55" s="2063"/>
      <c r="AG55" s="2179"/>
      <c r="AH55" s="2109"/>
      <c r="AI55" s="169"/>
      <c r="AJ55" s="295"/>
      <c r="AK55" s="190" t="s">
        <v>428</v>
      </c>
      <c r="AL55" s="1173"/>
      <c r="AM55" s="1173"/>
      <c r="AN55" s="1173"/>
      <c r="AO55" s="1173"/>
      <c r="AP55" s="1173"/>
      <c r="AQ55" s="1173"/>
      <c r="AR55" s="1173"/>
      <c r="AS55" s="1173"/>
      <c r="AT55" s="1173"/>
      <c r="AU55" s="1266"/>
      <c r="AV55" s="1173"/>
      <c r="AW55" s="1266"/>
      <c r="AX55" s="1173"/>
      <c r="AY55" s="1173"/>
      <c r="AZ55" s="1173"/>
      <c r="BA55" s="1173"/>
      <c r="BB55" s="1177"/>
      <c r="BC55" s="2135"/>
      <c r="BE55" s="368"/>
      <c r="BF55" s="368"/>
      <c r="BG55" s="368"/>
      <c r="BH55" s="368"/>
    </row>
    <row r="56" spans="1:60" ht="11.25" customHeight="1">
      <c r="A56" s="1143" t="s">
        <v>170</v>
      </c>
      <c r="B56" s="1143" t="s">
        <v>171</v>
      </c>
      <c r="C56" s="1143" t="s">
        <v>172</v>
      </c>
      <c r="D56" s="1143" t="s">
        <v>439</v>
      </c>
      <c r="E56" s="2112"/>
      <c r="F56" s="2112"/>
      <c r="G56" s="2112"/>
      <c r="H56" s="2112"/>
      <c r="I56" s="2114"/>
      <c r="J56" s="2114"/>
      <c r="K56" s="2113"/>
      <c r="L56" s="1144"/>
      <c r="P56" s="2115"/>
      <c r="Q56" s="2115"/>
      <c r="R56" s="238"/>
      <c r="S56" s="2163"/>
      <c r="T56" s="2182"/>
      <c r="U56" s="175"/>
      <c r="V56" s="1173"/>
      <c r="W56" s="1174" t="str">
        <f>Z52&amp;"-"&amp;AB52</f>
        <v>-</v>
      </c>
      <c r="X56" s="1173"/>
      <c r="Y56" s="1174" t="str">
        <f>AB52&amp;"-"&amp;AD52</f>
        <v>-да</v>
      </c>
      <c r="Z56" s="1173"/>
      <c r="AA56" s="1173"/>
      <c r="AB56" s="1173"/>
      <c r="AC56" s="1173"/>
      <c r="AD56" s="2051"/>
      <c r="AE56" s="189"/>
      <c r="AF56" s="191"/>
      <c r="AG56" s="296" t="s">
        <v>429</v>
      </c>
      <c r="AH56" s="1173"/>
      <c r="AI56" s="1173"/>
      <c r="AJ56" s="1173"/>
      <c r="AK56" s="1173"/>
      <c r="AL56" s="1173"/>
      <c r="AM56" s="1173"/>
      <c r="AN56" s="1173"/>
      <c r="AO56" s="1173"/>
      <c r="AP56" s="1173"/>
      <c r="AQ56" s="1173"/>
      <c r="AR56" s="1173"/>
      <c r="AS56" s="1173"/>
      <c r="AT56" s="1173"/>
      <c r="AU56" s="1174" t="str">
        <f>AX52&amp;"-"&amp;AZ52</f>
        <v>-</v>
      </c>
      <c r="AV56" s="1173"/>
      <c r="AW56" s="1174" t="str">
        <f>AZ52&amp;"-"&amp;BB52</f>
        <v>-</v>
      </c>
      <c r="AX56" s="1173"/>
      <c r="AY56" s="1173"/>
      <c r="AZ56" s="1173"/>
      <c r="BA56" s="1173"/>
      <c r="BB56" s="1176" t="str">
        <f>BE52&amp;"-"&amp;BG52</f>
        <v>-</v>
      </c>
      <c r="BC56" s="2135"/>
      <c r="BE56" s="368"/>
      <c r="BF56" s="368" t="str">
        <f t="shared" ref="BF56:BF63" si="4">IF(T56="","",T56)</f>
        <v/>
      </c>
      <c r="BG56" s="368"/>
      <c r="BH56" s="368"/>
    </row>
    <row r="57" spans="1:60" ht="11.25" customHeight="1">
      <c r="A57" s="1143" t="s">
        <v>170</v>
      </c>
      <c r="B57" s="1143" t="s">
        <v>171</v>
      </c>
      <c r="C57" s="1143" t="s">
        <v>172</v>
      </c>
      <c r="D57" s="1143" t="s">
        <v>439</v>
      </c>
      <c r="E57" s="2112"/>
      <c r="F57" s="2112"/>
      <c r="G57" s="2112"/>
      <c r="H57" s="2112"/>
      <c r="I57" s="2114"/>
      <c r="J57" s="2113"/>
      <c r="K57" s="1143"/>
      <c r="L57" s="1144"/>
      <c r="P57" s="2115"/>
      <c r="Q57" s="2115"/>
      <c r="R57" s="237"/>
      <c r="S57" s="1062"/>
      <c r="T57" s="163" t="s">
        <v>393</v>
      </c>
      <c r="U57" s="251"/>
      <c r="V57" s="251"/>
      <c r="W57" s="251"/>
      <c r="X57" s="251"/>
      <c r="Y57" s="251"/>
      <c r="Z57" s="251"/>
      <c r="AA57" s="251"/>
      <c r="AB57" s="251"/>
      <c r="AC57" s="206"/>
      <c r="AD57" s="1275"/>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06"/>
      <c r="BC57" s="2136"/>
      <c r="BE57" s="368"/>
      <c r="BF57" s="368" t="str">
        <f t="shared" si="4"/>
        <v>Добавить строку</v>
      </c>
      <c r="BG57" s="368"/>
      <c r="BH57" s="368"/>
    </row>
    <row r="58" spans="1:60" s="1622" customFormat="1" ht="0" hidden="1" customHeight="1">
      <c r="A58" s="1124" t="s">
        <v>170</v>
      </c>
      <c r="B58" s="1124" t="s">
        <v>171</v>
      </c>
      <c r="C58" s="1124" t="s">
        <v>172</v>
      </c>
      <c r="D58" s="1124" t="s">
        <v>439</v>
      </c>
      <c r="E58" s="2112"/>
      <c r="F58" s="2112"/>
      <c r="G58" s="2112"/>
      <c r="H58" s="2112"/>
      <c r="I58" s="2113"/>
      <c r="J58" s="1124"/>
      <c r="K58" s="1124"/>
      <c r="L58" s="1127"/>
      <c r="M58" s="378"/>
      <c r="N58" s="378"/>
      <c r="O58" s="378"/>
      <c r="P58" s="2115"/>
      <c r="Q58" s="1234"/>
      <c r="R58" s="237"/>
      <c r="S58" s="1166"/>
      <c r="T58" s="1167"/>
      <c r="U58" s="1168"/>
      <c r="V58" s="1168"/>
      <c r="W58" s="1168"/>
      <c r="X58" s="1168"/>
      <c r="Y58" s="1168"/>
      <c r="Z58" s="1168"/>
      <c r="AA58" s="1168"/>
      <c r="AB58" s="1168"/>
      <c r="AC58" s="1168"/>
      <c r="AD58" s="1168"/>
      <c r="AE58" s="1168"/>
      <c r="AF58" s="1168"/>
      <c r="AG58" s="1168"/>
      <c r="AH58" s="1168"/>
      <c r="AI58" s="1168"/>
      <c r="AJ58" s="1168"/>
      <c r="AK58" s="1168"/>
      <c r="AL58" s="1168"/>
      <c r="AM58" s="1168"/>
      <c r="AN58" s="1168"/>
      <c r="AO58" s="1168"/>
      <c r="AP58" s="1168"/>
      <c r="AQ58" s="1168"/>
      <c r="AR58" s="1168"/>
      <c r="AS58" s="1168"/>
      <c r="AT58" s="1168"/>
      <c r="AU58" s="1168"/>
      <c r="AV58" s="1168"/>
      <c r="AW58" s="1168"/>
      <c r="AX58" s="1168"/>
      <c r="AY58" s="1168"/>
      <c r="AZ58" s="1168"/>
      <c r="BA58" s="1168"/>
      <c r="BB58" s="1168"/>
      <c r="BC58" s="1169"/>
      <c r="BE58" s="368"/>
      <c r="BF58" s="368" t="str">
        <f t="shared" si="4"/>
        <v/>
      </c>
      <c r="BG58" s="368"/>
      <c r="BH58" s="368"/>
    </row>
    <row r="59" spans="1:60" s="1622" customFormat="1" ht="0" hidden="1" customHeight="1">
      <c r="A59" s="1124" t="s">
        <v>170</v>
      </c>
      <c r="B59" s="1124" t="s">
        <v>171</v>
      </c>
      <c r="C59" s="1124" t="s">
        <v>172</v>
      </c>
      <c r="D59" s="1124" t="s">
        <v>439</v>
      </c>
      <c r="E59" s="2112"/>
      <c r="F59" s="2112"/>
      <c r="G59" s="2112"/>
      <c r="H59" s="2111"/>
      <c r="I59" s="1124"/>
      <c r="J59" s="1124"/>
      <c r="K59" s="1124"/>
      <c r="L59" s="1127"/>
      <c r="M59" s="1097"/>
      <c r="N59" s="1097"/>
      <c r="O59" s="386"/>
      <c r="P59" s="269"/>
      <c r="Q59" s="1125"/>
      <c r="R59" s="1181"/>
      <c r="S59" s="1166"/>
      <c r="T59" s="1167"/>
      <c r="U59" s="1168"/>
      <c r="V59" s="1168"/>
      <c r="W59" s="1168"/>
      <c r="X59" s="1168"/>
      <c r="Y59" s="1168"/>
      <c r="Z59" s="1168"/>
      <c r="AA59" s="1168"/>
      <c r="AB59" s="1168"/>
      <c r="AC59" s="1168"/>
      <c r="AD59" s="1168"/>
      <c r="AE59" s="1168"/>
      <c r="AF59" s="1168"/>
      <c r="AG59" s="1168"/>
      <c r="AH59" s="1168"/>
      <c r="AI59" s="1168"/>
      <c r="AJ59" s="1168"/>
      <c r="AK59" s="1168"/>
      <c r="AL59" s="1168"/>
      <c r="AM59" s="1168"/>
      <c r="AN59" s="1168"/>
      <c r="AO59" s="1168"/>
      <c r="AP59" s="1168"/>
      <c r="AQ59" s="1168"/>
      <c r="AR59" s="1168"/>
      <c r="AS59" s="1168"/>
      <c r="AT59" s="1168"/>
      <c r="AU59" s="1168"/>
      <c r="AV59" s="1168"/>
      <c r="AW59" s="1168"/>
      <c r="AX59" s="1168"/>
      <c r="AY59" s="1168"/>
      <c r="AZ59" s="1168"/>
      <c r="BA59" s="1168"/>
      <c r="BB59" s="1168"/>
      <c r="BC59" s="1169"/>
      <c r="BE59" s="368"/>
      <c r="BF59" s="368" t="str">
        <f t="shared" si="4"/>
        <v/>
      </c>
      <c r="BG59" s="368"/>
      <c r="BH59" s="368"/>
    </row>
    <row r="60" spans="1:60" s="1686" customFormat="1" ht="0" hidden="1" customHeight="1">
      <c r="A60" s="1124" t="s">
        <v>170</v>
      </c>
      <c r="B60" s="1124" t="s">
        <v>171</v>
      </c>
      <c r="C60" s="1124" t="s">
        <v>172</v>
      </c>
      <c r="D60" s="1096"/>
      <c r="E60" s="2112"/>
      <c r="F60" s="2112"/>
      <c r="G60" s="2111"/>
      <c r="H60" s="1096"/>
      <c r="I60" s="1096"/>
      <c r="J60" s="1096"/>
      <c r="K60" s="1096"/>
      <c r="L60" s="1236"/>
      <c r="M60" s="1097"/>
      <c r="N60" s="1097"/>
      <c r="P60" s="1098"/>
      <c r="Q60" s="1099"/>
      <c r="R60" s="1098"/>
      <c r="S60" s="1104"/>
      <c r="T60" s="1107"/>
      <c r="U60" s="1106"/>
      <c r="V60" s="1106"/>
      <c r="W60" s="1106"/>
      <c r="X60" s="1106"/>
      <c r="Y60" s="1106"/>
      <c r="Z60" s="1106"/>
      <c r="AA60" s="1106"/>
      <c r="AB60" s="1106"/>
      <c r="AC60" s="1106"/>
      <c r="AD60" s="1106"/>
      <c r="AE60" s="1106"/>
      <c r="AF60" s="1106"/>
      <c r="AG60" s="1106"/>
      <c r="AH60" s="1106"/>
      <c r="AI60" s="1106"/>
      <c r="AJ60" s="1106"/>
      <c r="AK60" s="1106"/>
      <c r="AL60" s="1106"/>
      <c r="AM60" s="1106"/>
      <c r="AN60" s="1106"/>
      <c r="AO60" s="1106"/>
      <c r="AP60" s="1106"/>
      <c r="AQ60" s="1106"/>
      <c r="AR60" s="1106"/>
      <c r="AS60" s="1106"/>
      <c r="AT60" s="1106"/>
      <c r="AU60" s="1106"/>
      <c r="AV60" s="1106"/>
      <c r="AW60" s="1106"/>
      <c r="AX60" s="1106"/>
      <c r="AY60" s="1106"/>
      <c r="AZ60" s="1106"/>
      <c r="BA60" s="1106"/>
      <c r="BB60" s="1106"/>
      <c r="BC60" s="1106"/>
      <c r="BE60" s="598"/>
      <c r="BF60" s="598" t="str">
        <f t="shared" si="4"/>
        <v/>
      </c>
      <c r="BG60" s="598"/>
      <c r="BH60" s="598"/>
    </row>
    <row r="61" spans="1:60" s="1686" customFormat="1" ht="0" hidden="1" customHeight="1">
      <c r="A61" s="1124" t="s">
        <v>170</v>
      </c>
      <c r="B61" s="1124" t="s">
        <v>171</v>
      </c>
      <c r="C61" s="1096"/>
      <c r="D61" s="1096"/>
      <c r="E61" s="2112"/>
      <c r="F61" s="2111"/>
      <c r="G61" s="1096"/>
      <c r="H61" s="1096"/>
      <c r="I61" s="1096"/>
      <c r="J61" s="1096"/>
      <c r="K61" s="1096"/>
      <c r="L61" s="1236"/>
      <c r="M61" s="1103"/>
      <c r="N61" s="1103"/>
      <c r="P61" s="1098"/>
      <c r="Q61" s="1099"/>
      <c r="R61" s="1098"/>
      <c r="S61" s="1104"/>
      <c r="T61" s="1107" t="s">
        <v>341</v>
      </c>
      <c r="U61" s="1106"/>
      <c r="V61" s="1106"/>
      <c r="W61" s="1106"/>
      <c r="X61" s="1106"/>
      <c r="Y61" s="1106"/>
      <c r="Z61" s="1106"/>
      <c r="AA61" s="1106"/>
      <c r="AB61" s="1106"/>
      <c r="AC61" s="1106"/>
      <c r="AD61" s="1106"/>
      <c r="AE61" s="1106"/>
      <c r="AF61" s="1106"/>
      <c r="AG61" s="1106"/>
      <c r="AH61" s="1106"/>
      <c r="AI61" s="1106"/>
      <c r="AJ61" s="1106"/>
      <c r="AK61" s="1106"/>
      <c r="AL61" s="1106"/>
      <c r="AM61" s="1106"/>
      <c r="AN61" s="1106"/>
      <c r="AO61" s="1106"/>
      <c r="AP61" s="1106"/>
      <c r="AQ61" s="1106"/>
      <c r="AR61" s="1106"/>
      <c r="AS61" s="1106"/>
      <c r="AT61" s="1106"/>
      <c r="AU61" s="1106"/>
      <c r="AV61" s="1106"/>
      <c r="AW61" s="1106"/>
      <c r="AX61" s="1106"/>
      <c r="AY61" s="1106"/>
      <c r="AZ61" s="1106"/>
      <c r="BA61" s="1106"/>
      <c r="BB61" s="1106"/>
      <c r="BC61" s="1106"/>
      <c r="BE61" s="598"/>
      <c r="BF61" s="598" t="str">
        <f t="shared" si="4"/>
        <v>Добавить централизованную систему для дифференциации</v>
      </c>
      <c r="BG61" s="598"/>
      <c r="BH61" s="598"/>
    </row>
    <row r="62" spans="1:60" s="1622" customFormat="1" ht="0" hidden="1" customHeight="1">
      <c r="A62" s="1124" t="s">
        <v>170</v>
      </c>
      <c r="B62" s="1124"/>
      <c r="C62" s="1124"/>
      <c r="D62" s="1124"/>
      <c r="E62" s="2111"/>
      <c r="F62" s="1124"/>
      <c r="G62" s="1124"/>
      <c r="H62" s="1124"/>
      <c r="I62" s="1124"/>
      <c r="J62" s="1124"/>
      <c r="K62" s="1124"/>
      <c r="L62" s="1127"/>
      <c r="M62" s="1103"/>
      <c r="N62" s="1103"/>
      <c r="O62" s="386"/>
      <c r="P62" s="269"/>
      <c r="Q62" s="1125"/>
      <c r="R62" s="269"/>
      <c r="S62" s="1104"/>
      <c r="T62" s="1107" t="s">
        <v>342</v>
      </c>
      <c r="U62" s="1106"/>
      <c r="V62" s="1106"/>
      <c r="W62" s="1106"/>
      <c r="X62" s="1106"/>
      <c r="Y62" s="1106"/>
      <c r="Z62" s="1106"/>
      <c r="AA62" s="1106"/>
      <c r="AB62" s="1106"/>
      <c r="AC62" s="1106"/>
      <c r="AD62" s="1106"/>
      <c r="AE62" s="1106"/>
      <c r="AF62" s="1106"/>
      <c r="AG62" s="1106"/>
      <c r="AH62" s="1106"/>
      <c r="AI62" s="1106"/>
      <c r="AJ62" s="1106"/>
      <c r="AK62" s="1106"/>
      <c r="AL62" s="1106"/>
      <c r="AM62" s="1106"/>
      <c r="AN62" s="1106"/>
      <c r="AO62" s="1106"/>
      <c r="AP62" s="1106"/>
      <c r="AQ62" s="1106"/>
      <c r="AR62" s="1106"/>
      <c r="AS62" s="1106"/>
      <c r="AT62" s="1106"/>
      <c r="AU62" s="1106"/>
      <c r="AV62" s="1106"/>
      <c r="AW62" s="1106"/>
      <c r="AX62" s="1106"/>
      <c r="AY62" s="1106"/>
      <c r="AZ62" s="1106"/>
      <c r="BA62" s="1106"/>
      <c r="BB62" s="1106"/>
      <c r="BC62" s="1106"/>
      <c r="BE62" s="368"/>
      <c r="BF62" s="368" t="str">
        <f t="shared" si="4"/>
        <v>Добавить территорию для дифференциации</v>
      </c>
      <c r="BG62" s="368"/>
      <c r="BH62" s="368"/>
    </row>
    <row r="63" spans="1:60" s="1686" customFormat="1" ht="0" hidden="1" customHeight="1">
      <c r="A63" s="1096"/>
      <c r="B63" s="1096"/>
      <c r="C63" s="1096"/>
      <c r="D63" s="1096"/>
      <c r="E63" s="1124"/>
      <c r="F63" s="1096"/>
      <c r="G63" s="1096"/>
      <c r="H63" s="1096"/>
      <c r="I63" s="1096"/>
      <c r="J63" s="1096"/>
      <c r="K63" s="1096"/>
      <c r="L63" s="1236"/>
      <c r="M63" s="1103"/>
      <c r="N63" s="1103"/>
      <c r="P63" s="1098"/>
      <c r="Q63" s="1099"/>
      <c r="R63" s="1098"/>
      <c r="S63" s="1104"/>
      <c r="T63" s="1107" t="s">
        <v>374</v>
      </c>
      <c r="U63" s="1106"/>
      <c r="V63" s="1106"/>
      <c r="W63" s="1106"/>
      <c r="X63" s="1106"/>
      <c r="Y63" s="1106"/>
      <c r="Z63" s="1106"/>
      <c r="AA63" s="1106"/>
      <c r="AB63" s="1106"/>
      <c r="AC63" s="1106"/>
      <c r="AD63" s="1106"/>
      <c r="AE63" s="1106"/>
      <c r="AF63" s="1106"/>
      <c r="AG63" s="1106"/>
      <c r="AH63" s="1106"/>
      <c r="AI63" s="1106"/>
      <c r="AJ63" s="1106"/>
      <c r="AK63" s="1106"/>
      <c r="AL63" s="1106"/>
      <c r="AM63" s="1106"/>
      <c r="AN63" s="1106"/>
      <c r="AO63" s="1106"/>
      <c r="AP63" s="1106"/>
      <c r="AQ63" s="1106"/>
      <c r="AR63" s="1106"/>
      <c r="AS63" s="1106"/>
      <c r="AT63" s="1106"/>
      <c r="AU63" s="1106"/>
      <c r="AV63" s="1106"/>
      <c r="AW63" s="1106"/>
      <c r="AX63" s="1106"/>
      <c r="AY63" s="1106"/>
      <c r="AZ63" s="1106"/>
      <c r="BA63" s="1106"/>
      <c r="BB63" s="1106"/>
      <c r="BC63" s="1106"/>
      <c r="BE63" s="598"/>
      <c r="BF63" s="598" t="str">
        <f t="shared" si="4"/>
        <v>Добавить наименование тарифа</v>
      </c>
      <c r="BG63" s="598"/>
      <c r="BH63" s="598"/>
    </row>
    <row r="64" spans="1:60" ht="11.25" customHeight="1">
      <c r="M64" s="929"/>
      <c r="N64" s="929"/>
      <c r="O64" s="395"/>
      <c r="P64" s="929"/>
      <c r="Q64" s="929"/>
      <c r="R64" s="924"/>
      <c r="S64" s="924"/>
      <c r="BD64" s="924"/>
      <c r="BE64" s="924"/>
      <c r="BF64" s="924"/>
      <c r="BG64" s="924"/>
      <c r="BH64" s="924"/>
    </row>
    <row r="65" spans="15:55" ht="18.75" customHeight="1">
      <c r="O65" s="395"/>
      <c r="S65" s="1031"/>
      <c r="T65" s="2110"/>
      <c r="U65" s="2110"/>
      <c r="V65" s="2110"/>
      <c r="W65" s="2110"/>
      <c r="X65" s="2110"/>
      <c r="Y65" s="2110"/>
      <c r="Z65" s="2110"/>
      <c r="AA65" s="2110"/>
      <c r="AB65" s="2110"/>
      <c r="AC65" s="2110"/>
      <c r="AD65" s="2110"/>
      <c r="AE65" s="2110"/>
      <c r="AF65" s="2110"/>
      <c r="AG65" s="2110"/>
      <c r="AH65" s="2110"/>
      <c r="AI65" s="2110"/>
      <c r="AJ65" s="2110"/>
      <c r="AK65" s="2110"/>
      <c r="AL65" s="2110"/>
      <c r="AM65" s="2110"/>
      <c r="AN65" s="2110"/>
      <c r="AO65" s="2110"/>
      <c r="AP65" s="2110"/>
      <c r="AQ65" s="2110"/>
      <c r="AR65" s="2110"/>
      <c r="AS65" s="2110"/>
      <c r="AT65" s="2110"/>
      <c r="AU65" s="2110"/>
      <c r="AV65" s="2110"/>
      <c r="AW65" s="2110"/>
      <c r="AX65" s="2110"/>
      <c r="AY65" s="2110"/>
      <c r="AZ65" s="2110"/>
      <c r="BA65" s="2110"/>
      <c r="BB65" s="2110"/>
      <c r="BC65" s="2110"/>
    </row>
    <row r="66" spans="15:55" ht="14.25" customHeight="1">
      <c r="O66" s="395"/>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222"/>
      <c r="AV66" s="1222"/>
      <c r="AW66" s="1222"/>
      <c r="AX66" s="1222"/>
      <c r="AY66" s="1222"/>
      <c r="AZ66" s="1222"/>
      <c r="BA66" s="1222"/>
      <c r="BB66" s="1222"/>
      <c r="BC66" s="1222"/>
    </row>
    <row r="67" spans="15:55" ht="18.75" customHeight="1">
      <c r="O67" s="395"/>
      <c r="S67" s="1031"/>
      <c r="T67" s="2110"/>
      <c r="U67" s="2110"/>
      <c r="V67" s="2110"/>
      <c r="W67" s="2110"/>
      <c r="X67" s="2110"/>
      <c r="Y67" s="2110"/>
      <c r="Z67" s="2110"/>
      <c r="AA67" s="2110"/>
      <c r="AB67" s="2110"/>
      <c r="AC67" s="2110"/>
      <c r="AD67" s="2110"/>
      <c r="AE67" s="2110"/>
      <c r="AF67" s="2110"/>
      <c r="AG67" s="2110"/>
      <c r="AH67" s="2110"/>
      <c r="AI67" s="2110"/>
      <c r="AJ67" s="2110"/>
      <c r="AK67" s="2110"/>
      <c r="AL67" s="2110"/>
      <c r="AM67" s="2110"/>
      <c r="AN67" s="2110"/>
      <c r="AO67" s="2110"/>
      <c r="AP67" s="2110"/>
      <c r="AQ67" s="2110"/>
      <c r="AR67" s="2110"/>
      <c r="AS67" s="2110"/>
      <c r="AT67" s="2110"/>
      <c r="AU67" s="2110"/>
      <c r="AV67" s="2110"/>
      <c r="AW67" s="2110"/>
      <c r="AX67" s="2110"/>
      <c r="AY67" s="2110"/>
      <c r="AZ67" s="2110"/>
      <c r="BA67" s="2110"/>
      <c r="BB67" s="2110"/>
      <c r="BC67" s="2110"/>
    </row>
    <row r="68" spans="15:55" ht="14.25" customHeight="1">
      <c r="O68" s="39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687" hidden="1"/>
    <col min="2" max="2" width="11" style="1687" hidden="1" customWidth="1"/>
    <col min="3" max="3" width="10.5703125" style="1687" hidden="1"/>
    <col min="4" max="4" width="11.85546875" style="1687" hidden="1" customWidth="1"/>
    <col min="5" max="5" width="10" style="1687" hidden="1" customWidth="1"/>
    <col min="6" max="6" width="8.7109375" style="1687" hidden="1" customWidth="1"/>
    <col min="7" max="7" width="7.5703125" style="1687" hidden="1" customWidth="1"/>
    <col min="8" max="8" width="11.42578125" style="1687" hidden="1" customWidth="1"/>
    <col min="9" max="9" width="14.140625" style="1687" hidden="1" customWidth="1"/>
    <col min="10" max="10" width="9.85546875" style="1687" hidden="1" customWidth="1"/>
    <col min="11" max="11" width="14.7109375" style="1687" hidden="1" customWidth="1"/>
    <col min="12" max="12" width="19.140625" style="1706" hidden="1" customWidth="1"/>
    <col min="13" max="14" width="12.28515625" style="1689" hidden="1" customWidth="1"/>
    <col min="15" max="15" width="23.42578125" style="1689" hidden="1" customWidth="1"/>
    <col min="16" max="16" width="3.7109375" style="1707" customWidth="1"/>
    <col min="17" max="18" width="3.7109375" style="1695" customWidth="1"/>
    <col min="19" max="19" width="12.7109375" style="1696" customWidth="1"/>
    <col min="20" max="20" width="35.7109375" style="1661" customWidth="1"/>
    <col min="21" max="21" width="0.140625" style="1661" customWidth="1"/>
    <col min="22" max="24" width="24.7109375" style="1661" hidden="1" customWidth="1"/>
    <col min="25" max="25" width="11.7109375" style="1661" hidden="1" customWidth="1"/>
    <col min="26" max="26" width="3.7109375" style="1661" hidden="1" customWidth="1"/>
    <col min="27" max="27" width="11.7109375" style="1661" hidden="1" customWidth="1"/>
    <col min="28" max="28" width="8.5703125" style="1661" hidden="1" customWidth="1"/>
    <col min="29" max="31" width="24.7109375" style="1661" customWidth="1"/>
    <col min="32" max="32" width="11.7109375" style="1661" customWidth="1"/>
    <col min="33" max="33" width="3.7109375" style="1661" customWidth="1"/>
    <col min="34" max="34" width="11.7109375" style="1661" customWidth="1"/>
    <col min="35" max="35" width="8.5703125" style="1661" hidden="1" customWidth="1"/>
    <col min="36" max="36" width="4.7109375" style="1661" customWidth="1"/>
    <col min="37" max="37" width="115.7109375" style="1661" customWidth="1"/>
    <col min="38" max="39" width="10.5703125" style="1622"/>
    <col min="40" max="40" width="11.140625" style="1622" customWidth="1"/>
    <col min="41" max="42" width="10.5703125" style="1622"/>
  </cols>
  <sheetData>
    <row r="1" spans="1:42" ht="14.25" hidden="1" customHeight="1">
      <c r="X1" s="210"/>
      <c r="Y1" s="210"/>
      <c r="AE1" s="210"/>
      <c r="AF1" s="210"/>
    </row>
    <row r="2" spans="1:42" ht="23.25" hidden="1" customHeight="1">
      <c r="A2" s="1143"/>
      <c r="B2" s="1143"/>
      <c r="C2" s="1143"/>
      <c r="D2" s="1143"/>
      <c r="E2" s="2111">
        <v>1</v>
      </c>
      <c r="F2" s="1143"/>
      <c r="G2" s="1143"/>
      <c r="H2" s="1143"/>
      <c r="I2" s="1143"/>
      <c r="J2" s="1143"/>
      <c r="K2" s="1143"/>
      <c r="L2" s="1144"/>
      <c r="M2" s="1145"/>
      <c r="N2" s="1145"/>
      <c r="O2" s="1145"/>
      <c r="P2" s="242"/>
      <c r="Q2" s="241"/>
      <c r="R2" s="236"/>
      <c r="S2" s="1263" t="e">
        <f>INDEX(PT_DIFFERENTIATION_NUM_NTAR,MATCH(A2,PT_DIFFERENTIATION_NTAR_ID,0))</f>
        <v>#N/A</v>
      </c>
      <c r="T2" s="173" t="s">
        <v>61</v>
      </c>
      <c r="U2" s="175"/>
      <c r="V2" s="2104"/>
      <c r="W2" s="2105"/>
      <c r="X2" s="2105"/>
      <c r="Y2" s="2105"/>
      <c r="Z2" s="2105"/>
      <c r="AA2" s="2105"/>
      <c r="AB2" s="2106"/>
      <c r="AC2" s="2104" t="e">
        <f>INDEX(PT_DIFFERENTIATION_NTAR,MATCH(A2,PT_DIFFERENTIATION_NTAR_ID,0))</f>
        <v>#N/A</v>
      </c>
      <c r="AD2" s="2105"/>
      <c r="AE2" s="2105"/>
      <c r="AF2" s="2105"/>
      <c r="AG2" s="2105"/>
      <c r="AH2" s="2105"/>
      <c r="AI2" s="2105"/>
      <c r="AJ2" s="2106"/>
      <c r="AK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68"/>
      <c r="AN2" s="368" t="str">
        <f t="shared" ref="AN2:AN13" si="0">IF(T2="","",T2)</f>
        <v>Наименование тарифа</v>
      </c>
      <c r="AO2" s="368"/>
      <c r="AP2" s="368"/>
    </row>
    <row r="3" spans="1:42" ht="23.25" hidden="1" customHeight="1">
      <c r="A3" s="1143"/>
      <c r="B3" s="1143"/>
      <c r="C3" s="1143"/>
      <c r="D3" s="1143"/>
      <c r="E3" s="2112"/>
      <c r="F3" s="2111">
        <v>1</v>
      </c>
      <c r="G3" s="1143"/>
      <c r="H3" s="1143"/>
      <c r="I3" s="1143"/>
      <c r="J3" s="1143"/>
      <c r="K3" s="1143"/>
      <c r="L3" s="1144"/>
      <c r="M3" s="1145"/>
      <c r="N3" s="1145"/>
      <c r="O3" s="1145"/>
      <c r="P3" s="1257"/>
      <c r="Q3" s="233"/>
      <c r="R3" s="234"/>
      <c r="S3" s="1263" t="e">
        <f>INDEX(PT_DIFFERENTIATION_NUM_TER,MATCH(B3,PT_DIFFERENTIATION_TER_ID,0))</f>
        <v>#N/A</v>
      </c>
      <c r="T3" s="185" t="s">
        <v>323</v>
      </c>
      <c r="U3" s="175"/>
      <c r="V3" s="2104"/>
      <c r="W3" s="2105"/>
      <c r="X3" s="2105"/>
      <c r="Y3" s="2105"/>
      <c r="Z3" s="2105"/>
      <c r="AA3" s="2105"/>
      <c r="AB3" s="2106"/>
      <c r="AC3" s="2104" t="e">
        <f>INDEX(PT_DIFFERENTIATION_TER,MATCH(B3,PT_DIFFERENTIATION_TER_ID,0))</f>
        <v>#N/A</v>
      </c>
      <c r="AD3" s="2105"/>
      <c r="AE3" s="2105"/>
      <c r="AF3" s="2105"/>
      <c r="AG3" s="2105"/>
      <c r="AH3" s="2105"/>
      <c r="AI3" s="2105"/>
      <c r="AJ3" s="2106"/>
      <c r="AK3" s="1044" t="s">
        <v>324</v>
      </c>
      <c r="AM3" s="368"/>
      <c r="AN3" s="368" t="str">
        <f t="shared" si="0"/>
        <v>Территория действия тарифа</v>
      </c>
      <c r="AO3" s="368"/>
      <c r="AP3" s="368"/>
    </row>
    <row r="4" spans="1:42" ht="23.25" hidden="1" customHeight="1">
      <c r="A4" s="1143"/>
      <c r="B4" s="1143"/>
      <c r="C4" s="1143"/>
      <c r="D4" s="1143"/>
      <c r="E4" s="2112"/>
      <c r="F4" s="2112"/>
      <c r="G4" s="2111">
        <v>1</v>
      </c>
      <c r="H4" s="1143"/>
      <c r="I4" s="1143"/>
      <c r="J4" s="1143"/>
      <c r="K4" s="1143"/>
      <c r="L4" s="1144"/>
      <c r="M4" s="1145"/>
      <c r="N4" s="1145"/>
      <c r="O4" s="1145"/>
      <c r="P4" s="235"/>
      <c r="Q4" s="233"/>
      <c r="R4" s="234"/>
      <c r="S4" s="1263" t="e">
        <f>INDEX(PT_DIFFERENTIATION_NUM_CS,MATCH(C4,PT_DIFFERENTIATION_CS_ID,0))</f>
        <v>#N/A</v>
      </c>
      <c r="T4" s="186" t="s">
        <v>440</v>
      </c>
      <c r="U4" s="175"/>
      <c r="V4" s="2104"/>
      <c r="W4" s="2105"/>
      <c r="X4" s="2105"/>
      <c r="Y4" s="2105"/>
      <c r="Z4" s="2105"/>
      <c r="AA4" s="2105"/>
      <c r="AB4" s="2106"/>
      <c r="AC4" s="2104" t="e">
        <f>INDEX(PT_DIFFERENTIATION_CS,MATCH(C4,PT_DIFFERENTIATION_CS_ID,0))</f>
        <v>#N/A</v>
      </c>
      <c r="AD4" s="2105"/>
      <c r="AE4" s="2105"/>
      <c r="AF4" s="2105"/>
      <c r="AG4" s="2105"/>
      <c r="AH4" s="2105"/>
      <c r="AI4" s="2105"/>
      <c r="AJ4" s="2106"/>
      <c r="AK4" s="1044" t="s">
        <v>441</v>
      </c>
      <c r="AM4" s="368"/>
      <c r="AN4" s="368" t="str">
        <f t="shared" si="0"/>
        <v>Наименование централизованной системы водоотведения</v>
      </c>
      <c r="AO4" s="368"/>
      <c r="AP4" s="368"/>
    </row>
    <row r="5" spans="1:42" ht="23.25" hidden="1" customHeight="1">
      <c r="A5" s="1143"/>
      <c r="B5" s="1143"/>
      <c r="C5" s="1143"/>
      <c r="D5" s="1143"/>
      <c r="E5" s="2112"/>
      <c r="F5" s="2112"/>
      <c r="G5" s="2112"/>
      <c r="H5" s="2112"/>
      <c r="I5" s="2113" t="e">
        <f>S4&amp;".1"</f>
        <v>#N/A</v>
      </c>
      <c r="J5" s="1143"/>
      <c r="K5" s="1143"/>
      <c r="L5" s="1144"/>
      <c r="P5" s="2115">
        <v>1</v>
      </c>
      <c r="Q5" s="1251"/>
      <c r="R5" s="237"/>
      <c r="S5" s="1263" t="e">
        <f>$I5</f>
        <v>#N/A</v>
      </c>
      <c r="T5" s="161" t="s">
        <v>409</v>
      </c>
      <c r="U5" s="175"/>
      <c r="V5" s="2171"/>
      <c r="W5" s="2172"/>
      <c r="X5" s="2172"/>
      <c r="Y5" s="2172"/>
      <c r="Z5" s="2172"/>
      <c r="AA5" s="2172"/>
      <c r="AB5" s="2173"/>
      <c r="AC5" s="2174"/>
      <c r="AD5" s="2175"/>
      <c r="AE5" s="2175"/>
      <c r="AF5" s="2175"/>
      <c r="AG5" s="2175"/>
      <c r="AH5" s="2175"/>
      <c r="AI5" s="2175"/>
      <c r="AJ5" s="2176"/>
      <c r="AK5" s="1044" t="s">
        <v>410</v>
      </c>
      <c r="AM5" s="368"/>
      <c r="AN5" s="368" t="str">
        <f t="shared" si="0"/>
        <v>Наименование признака дифференциации</v>
      </c>
      <c r="AO5" s="368"/>
      <c r="AP5" s="368"/>
    </row>
    <row r="6" spans="1:42" ht="23.25" hidden="1" customHeight="1">
      <c r="A6" s="1143"/>
      <c r="B6" s="1143"/>
      <c r="C6" s="1143"/>
      <c r="D6" s="1143"/>
      <c r="E6" s="2112"/>
      <c r="F6" s="2112"/>
      <c r="G6" s="2112"/>
      <c r="H6" s="2112"/>
      <c r="I6" s="2114"/>
      <c r="J6" s="2113" t="e">
        <f>I5&amp;".1"</f>
        <v>#N/A</v>
      </c>
      <c r="K6" s="1143"/>
      <c r="L6" s="1144" t="s">
        <v>332</v>
      </c>
      <c r="P6" s="2115"/>
      <c r="Q6" s="2115">
        <v>1</v>
      </c>
      <c r="R6" s="238"/>
      <c r="S6" s="1263" t="e">
        <f>$J6</f>
        <v>#N/A</v>
      </c>
      <c r="T6" s="162" t="s">
        <v>333</v>
      </c>
      <c r="U6" s="175"/>
      <c r="V6" s="2098"/>
      <c r="W6" s="2099"/>
      <c r="X6" s="2099"/>
      <c r="Y6" s="2099"/>
      <c r="Z6" s="2099"/>
      <c r="AA6" s="2099"/>
      <c r="AB6" s="2100"/>
      <c r="AC6" s="2098"/>
      <c r="AD6" s="2099"/>
      <c r="AE6" s="2099"/>
      <c r="AF6" s="2099"/>
      <c r="AG6" s="2099"/>
      <c r="AH6" s="2099"/>
      <c r="AI6" s="2099"/>
      <c r="AJ6" s="2100"/>
      <c r="AK6" s="1090" t="s">
        <v>411</v>
      </c>
      <c r="AM6" s="368"/>
      <c r="AN6" s="368" t="str">
        <f t="shared" si="0"/>
        <v>Группа потребителей</v>
      </c>
      <c r="AO6" s="368"/>
      <c r="AP6" s="368"/>
    </row>
    <row r="7" spans="1:42" ht="23.25" hidden="1" customHeight="1">
      <c r="A7" s="1143"/>
      <c r="B7" s="1143"/>
      <c r="C7" s="1143"/>
      <c r="D7" s="1143"/>
      <c r="E7" s="2112"/>
      <c r="F7" s="2112"/>
      <c r="G7" s="2112"/>
      <c r="H7" s="2112"/>
      <c r="I7" s="2114"/>
      <c r="J7" s="2114"/>
      <c r="K7" s="2113" t="e">
        <f>J6&amp;".1"</f>
        <v>#N/A</v>
      </c>
      <c r="L7" s="1144"/>
      <c r="P7" s="2115"/>
      <c r="Q7" s="2115"/>
      <c r="R7" s="238">
        <v>1</v>
      </c>
      <c r="S7" s="1263" t="e">
        <f>$K7</f>
        <v>#N/A</v>
      </c>
      <c r="T7" s="1212"/>
      <c r="U7" s="175"/>
      <c r="V7" s="576"/>
      <c r="W7" s="576"/>
      <c r="X7" s="1043"/>
      <c r="Y7" s="2116"/>
      <c r="Z7" s="2109" t="s">
        <v>16</v>
      </c>
      <c r="AA7" s="2116"/>
      <c r="AB7" s="2109" t="s">
        <v>16</v>
      </c>
      <c r="AC7" s="576"/>
      <c r="AD7" s="576"/>
      <c r="AE7" s="1043"/>
      <c r="AF7" s="2116"/>
      <c r="AG7" s="2109" t="s">
        <v>16</v>
      </c>
      <c r="AH7" s="2118"/>
      <c r="AI7" s="2109" t="s">
        <v>16</v>
      </c>
      <c r="AJ7" s="1213"/>
      <c r="AK7"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79" t="e">
        <f ca="1">STRCHECKDATE(V8:AJ8)</f>
        <v>#NAME?</v>
      </c>
      <c r="AM7" s="368"/>
      <c r="AN7" s="368" t="str">
        <f t="shared" si="0"/>
        <v/>
      </c>
      <c r="AO7" s="368"/>
      <c r="AP7" s="368"/>
    </row>
    <row r="8" spans="1:42" ht="14.25" hidden="1" customHeight="1">
      <c r="A8" s="1143"/>
      <c r="B8" s="1143"/>
      <c r="C8" s="1143"/>
      <c r="D8" s="1143"/>
      <c r="E8" s="2112"/>
      <c r="F8" s="2112"/>
      <c r="G8" s="2112"/>
      <c r="H8" s="2112"/>
      <c r="I8" s="2114"/>
      <c r="J8" s="2114"/>
      <c r="K8" s="2113"/>
      <c r="L8" s="1144"/>
      <c r="P8" s="2115"/>
      <c r="Q8" s="2115"/>
      <c r="R8" s="238"/>
      <c r="S8" s="1260"/>
      <c r="T8" s="175"/>
      <c r="U8" s="175"/>
      <c r="V8" s="207"/>
      <c r="W8" s="207"/>
      <c r="X8" s="211" t="str">
        <f>Y7&amp;"-"&amp;AA7</f>
        <v>-</v>
      </c>
      <c r="Y8" s="2117"/>
      <c r="Z8" s="2109"/>
      <c r="AA8" s="2117"/>
      <c r="AB8" s="2109"/>
      <c r="AC8" s="207"/>
      <c r="AD8" s="207"/>
      <c r="AE8" s="211" t="str">
        <f>AF7&amp;"-"&amp;AH7</f>
        <v>-</v>
      </c>
      <c r="AF8" s="2117"/>
      <c r="AG8" s="2109"/>
      <c r="AH8" s="2119"/>
      <c r="AI8" s="2109"/>
      <c r="AJ8" s="1214"/>
      <c r="AK8" s="2177"/>
      <c r="AM8" s="368"/>
      <c r="AN8" s="368" t="str">
        <f t="shared" si="0"/>
        <v/>
      </c>
      <c r="AO8" s="368"/>
      <c r="AP8" s="368"/>
    </row>
    <row r="9" spans="1:42" ht="21" hidden="1" customHeight="1">
      <c r="A9" s="1143"/>
      <c r="B9" s="1143"/>
      <c r="C9" s="1143"/>
      <c r="D9" s="1143"/>
      <c r="E9" s="2112"/>
      <c r="F9" s="2112"/>
      <c r="G9" s="2112"/>
      <c r="H9" s="2112"/>
      <c r="I9" s="2114"/>
      <c r="J9" s="2113"/>
      <c r="K9" s="1143"/>
      <c r="L9" s="1144"/>
      <c r="P9" s="2115"/>
      <c r="Q9" s="2115"/>
      <c r="R9" s="237"/>
      <c r="S9" s="1062"/>
      <c r="T9" s="163" t="s">
        <v>412</v>
      </c>
      <c r="U9" s="251"/>
      <c r="V9" s="251"/>
      <c r="W9" s="251"/>
      <c r="X9" s="251"/>
      <c r="Y9" s="251"/>
      <c r="Z9" s="251"/>
      <c r="AA9" s="251"/>
      <c r="AB9" s="251"/>
      <c r="AC9" s="251"/>
      <c r="AD9" s="251"/>
      <c r="AE9" s="251"/>
      <c r="AF9" s="251"/>
      <c r="AG9" s="251"/>
      <c r="AH9" s="251"/>
      <c r="AI9" s="251"/>
      <c r="AJ9" s="251"/>
      <c r="AK9" s="1044" t="s">
        <v>413</v>
      </c>
      <c r="AM9" s="368"/>
      <c r="AN9" s="368" t="str">
        <f t="shared" si="0"/>
        <v>Добавить значение признака дифференциации</v>
      </c>
      <c r="AO9" s="368"/>
      <c r="AP9" s="368"/>
    </row>
    <row r="10" spans="1:42" ht="21" hidden="1" customHeight="1">
      <c r="A10" s="1143"/>
      <c r="B10" s="1143"/>
      <c r="C10" s="1143"/>
      <c r="D10" s="1143"/>
      <c r="E10" s="2112"/>
      <c r="F10" s="2112"/>
      <c r="G10" s="2112"/>
      <c r="H10" s="2112"/>
      <c r="I10" s="2113"/>
      <c r="J10" s="1143"/>
      <c r="K10" s="1143"/>
      <c r="L10" s="1144"/>
      <c r="P10" s="2115"/>
      <c r="Q10" s="1251"/>
      <c r="R10" s="237"/>
      <c r="S10" s="1062"/>
      <c r="T10" s="248" t="s">
        <v>338</v>
      </c>
      <c r="U10" s="251"/>
      <c r="V10" s="251"/>
      <c r="W10" s="251"/>
      <c r="X10" s="251"/>
      <c r="Y10" s="251"/>
      <c r="Z10" s="251"/>
      <c r="AA10" s="251"/>
      <c r="AB10" s="250"/>
      <c r="AC10" s="251"/>
      <c r="AD10" s="251"/>
      <c r="AE10" s="251"/>
      <c r="AF10" s="251"/>
      <c r="AG10" s="251"/>
      <c r="AH10" s="251"/>
      <c r="AI10" s="250"/>
      <c r="AJ10" s="251"/>
      <c r="AK10" s="1215"/>
      <c r="AM10" s="368"/>
      <c r="AN10" s="368" t="str">
        <f t="shared" si="0"/>
        <v>Добавить группу потребителей</v>
      </c>
      <c r="AO10" s="368"/>
      <c r="AP10" s="368"/>
    </row>
    <row r="11" spans="1:42" ht="21" hidden="1" customHeight="1">
      <c r="A11" s="1143"/>
      <c r="B11" s="1143"/>
      <c r="C11" s="1143"/>
      <c r="D11" s="1143"/>
      <c r="E11" s="2112"/>
      <c r="F11" s="2112"/>
      <c r="G11" s="2112"/>
      <c r="H11" s="2111"/>
      <c r="I11" s="1143"/>
      <c r="J11" s="1143"/>
      <c r="K11" s="1143"/>
      <c r="L11" s="1144"/>
      <c r="M11" s="1145"/>
      <c r="N11" s="1145"/>
      <c r="O11" s="395"/>
      <c r="P11" s="241"/>
      <c r="Q11" s="260"/>
      <c r="R11" s="236"/>
      <c r="S11" s="1062"/>
      <c r="T11" s="256" t="s">
        <v>414</v>
      </c>
      <c r="U11" s="251"/>
      <c r="V11" s="251"/>
      <c r="W11" s="251"/>
      <c r="X11" s="251"/>
      <c r="Y11" s="251"/>
      <c r="Z11" s="251"/>
      <c r="AA11" s="251"/>
      <c r="AB11" s="250"/>
      <c r="AC11" s="251"/>
      <c r="AD11" s="251"/>
      <c r="AE11" s="251"/>
      <c r="AF11" s="251"/>
      <c r="AG11" s="251"/>
      <c r="AH11" s="251"/>
      <c r="AI11" s="250"/>
      <c r="AJ11" s="251"/>
      <c r="AK11" s="178"/>
      <c r="AM11" s="368"/>
      <c r="AN11" s="368" t="str">
        <f t="shared" si="0"/>
        <v>Добавить наименование признака дифференциации</v>
      </c>
      <c r="AO11" s="368"/>
      <c r="AP11" s="368"/>
    </row>
    <row r="12" spans="1:42" s="1686" customFormat="1" ht="14.25" hidden="1" customHeight="1">
      <c r="A12" s="1124"/>
      <c r="B12" s="1124"/>
      <c r="C12" s="1096"/>
      <c r="D12" s="1096"/>
      <c r="E12" s="2112"/>
      <c r="F12" s="2111"/>
      <c r="G12" s="1096"/>
      <c r="H12" s="1096"/>
      <c r="I12" s="1096"/>
      <c r="J12" s="1096"/>
      <c r="K12" s="1096"/>
      <c r="L12" s="1264"/>
      <c r="M12" s="1103"/>
      <c r="N12" s="1103"/>
      <c r="P12" s="1098"/>
      <c r="Q12" s="1099"/>
      <c r="R12" s="1098"/>
      <c r="S12" s="1104"/>
      <c r="T12" s="1107" t="s">
        <v>341</v>
      </c>
      <c r="U12" s="1106"/>
      <c r="V12" s="1106"/>
      <c r="W12" s="1106"/>
      <c r="X12" s="1106"/>
      <c r="Y12" s="1106"/>
      <c r="Z12" s="1106"/>
      <c r="AA12" s="1106"/>
      <c r="AB12" s="1106"/>
      <c r="AC12" s="1106"/>
      <c r="AD12" s="1106"/>
      <c r="AE12" s="1106"/>
      <c r="AF12" s="1106"/>
      <c r="AG12" s="1106"/>
      <c r="AH12" s="1106"/>
      <c r="AI12" s="1106"/>
      <c r="AJ12" s="1106"/>
      <c r="AK12" s="1106"/>
      <c r="AM12" s="598"/>
      <c r="AN12" s="598" t="str">
        <f t="shared" si="0"/>
        <v>Добавить централизованную систему для дифференциации</v>
      </c>
      <c r="AO12" s="598"/>
      <c r="AP12" s="598"/>
    </row>
    <row r="13" spans="1:42" s="1622" customFormat="1" ht="14.25" hidden="1" customHeight="1">
      <c r="A13" s="1124"/>
      <c r="B13" s="1124"/>
      <c r="C13" s="1124"/>
      <c r="D13" s="1124"/>
      <c r="E13" s="2111"/>
      <c r="F13" s="1124"/>
      <c r="G13" s="1124"/>
      <c r="H13" s="1124"/>
      <c r="I13" s="1124"/>
      <c r="J13" s="1124"/>
      <c r="K13" s="1124"/>
      <c r="L13" s="1127"/>
      <c r="M13" s="1103"/>
      <c r="N13" s="1103"/>
      <c r="O13" s="386"/>
      <c r="P13" s="269"/>
      <c r="Q13" s="1125"/>
      <c r="R13" s="269"/>
      <c r="S13" s="1104"/>
      <c r="T13" s="1107" t="s">
        <v>342</v>
      </c>
      <c r="U13" s="1106"/>
      <c r="V13" s="1106"/>
      <c r="W13" s="1106"/>
      <c r="X13" s="1106"/>
      <c r="Y13" s="1106"/>
      <c r="Z13" s="1106"/>
      <c r="AA13" s="1106"/>
      <c r="AB13" s="1106"/>
      <c r="AC13" s="1106"/>
      <c r="AD13" s="1106"/>
      <c r="AE13" s="1106"/>
      <c r="AF13" s="1106"/>
      <c r="AG13" s="1106"/>
      <c r="AH13" s="1106"/>
      <c r="AI13" s="1106"/>
      <c r="AJ13" s="1106"/>
      <c r="AK13" s="1106"/>
      <c r="AM13" s="368"/>
      <c r="AN13" s="368" t="str">
        <f t="shared" si="0"/>
        <v>Добавить территорию для дифференциации</v>
      </c>
      <c r="AO13" s="368"/>
      <c r="AP13" s="368"/>
    </row>
    <row r="14" spans="1:42" ht="14.25" hidden="1" customHeight="1">
      <c r="AB14" s="210"/>
      <c r="AI14" s="210"/>
    </row>
    <row r="15" spans="1:42" ht="14.25" hidden="1" customHeight="1">
      <c r="AC15" s="1140"/>
      <c r="AD15" s="1140"/>
      <c r="AE15" s="1141"/>
      <c r="AF15" s="2108"/>
      <c r="AG15" s="2107" t="s">
        <v>16</v>
      </c>
      <c r="AH15" s="2108"/>
      <c r="AI15" s="2107" t="s">
        <v>16</v>
      </c>
    </row>
    <row r="16" spans="1:42" ht="14.25" hidden="1" customHeight="1">
      <c r="AC16" s="1140"/>
      <c r="AD16" s="1140"/>
      <c r="AE16" s="211" t="str">
        <f>AF15&amp;"-"&amp;AH15</f>
        <v>-</v>
      </c>
      <c r="AF16" s="2107"/>
      <c r="AG16" s="2107"/>
      <c r="AH16" s="2107"/>
      <c r="AI16" s="2107"/>
    </row>
    <row r="17" spans="1:42" ht="14.25" hidden="1" customHeight="1">
      <c r="AI17" s="210"/>
    </row>
    <row r="18" spans="1:42" s="1687" customFormat="1" ht="22.5" hidden="1" customHeight="1">
      <c r="L18" s="1248"/>
      <c r="M18" s="1142"/>
      <c r="N18" s="1142"/>
      <c r="O18" s="1147" t="s">
        <v>343</v>
      </c>
      <c r="P18" s="1142"/>
      <c r="Q18" s="1151"/>
      <c r="R18" s="1151"/>
      <c r="S18" s="556"/>
      <c r="Y18" s="1147"/>
      <c r="AA18" s="1147"/>
      <c r="AB18" s="1146"/>
      <c r="AF18" s="1147"/>
      <c r="AH18" s="1147"/>
      <c r="AI18" s="1146"/>
      <c r="AL18" s="379"/>
      <c r="AM18" s="379"/>
      <c r="AN18" s="379"/>
      <c r="AO18" s="379"/>
      <c r="AP18" s="379"/>
    </row>
    <row r="19" spans="1:42" s="1687" customFormat="1" ht="14.25" hidden="1" customHeight="1">
      <c r="L19" s="1248"/>
      <c r="M19" s="1142"/>
      <c r="N19" s="1142"/>
      <c r="O19" s="1142"/>
      <c r="P19" s="1142"/>
      <c r="Q19" s="1151"/>
      <c r="R19" s="1151"/>
      <c r="S19" s="556"/>
      <c r="AB19" s="1146"/>
      <c r="AI19" s="1146"/>
      <c r="AL19" s="379"/>
      <c r="AM19" s="379"/>
      <c r="AN19" s="379"/>
      <c r="AO19" s="379"/>
      <c r="AP19" s="379"/>
    </row>
    <row r="20" spans="1:42" s="1687" customFormat="1" ht="12" hidden="1" customHeight="1">
      <c r="L20" s="1248"/>
      <c r="M20" s="1142"/>
      <c r="N20" s="1142"/>
      <c r="O20" s="1144" t="s">
        <v>344</v>
      </c>
      <c r="P20" s="1142"/>
      <c r="Q20" s="1216"/>
      <c r="R20" s="1216"/>
      <c r="S20" s="556"/>
      <c r="T20" s="929" t="s">
        <v>345</v>
      </c>
      <c r="Z20" s="86" t="s">
        <v>346</v>
      </c>
      <c r="AB20" s="86" t="s">
        <v>347</v>
      </c>
      <c r="AC20" s="929" t="s">
        <v>345</v>
      </c>
      <c r="AG20" s="86" t="s">
        <v>348</v>
      </c>
      <c r="AI20" s="86" t="s">
        <v>347</v>
      </c>
    </row>
    <row r="21" spans="1:42" ht="14.25" hidden="1" customHeight="1">
      <c r="O21" s="1144"/>
    </row>
    <row r="22" spans="1:42" ht="14.25" hidden="1" customHeight="1">
      <c r="O22" s="1144"/>
    </row>
    <row r="23" spans="1:42" ht="14.25" customHeight="1">
      <c r="Q23" s="261"/>
      <c r="R23" s="261"/>
      <c r="S23" s="1059"/>
      <c r="T23" s="246"/>
      <c r="U23" s="246"/>
      <c r="V23" s="377"/>
      <c r="W23" s="377"/>
      <c r="X23" s="377"/>
      <c r="Y23" s="377"/>
      <c r="Z23" s="377"/>
      <c r="AA23" s="377"/>
      <c r="AB23" s="377"/>
      <c r="AC23" s="377"/>
      <c r="AD23" s="377"/>
      <c r="AE23" s="377"/>
      <c r="AF23" s="377"/>
      <c r="AG23" s="377"/>
      <c r="AH23" s="377"/>
      <c r="AI23" s="377"/>
    </row>
    <row r="24" spans="1:42" ht="14.25" customHeight="1">
      <c r="Q24" s="261"/>
      <c r="R24" s="261"/>
      <c r="S24" s="208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88"/>
      <c r="U24" s="2088"/>
      <c r="V24" s="2088"/>
      <c r="W24" s="2088"/>
      <c r="X24" s="2088"/>
      <c r="Y24" s="2088"/>
      <c r="Z24" s="2088"/>
      <c r="AA24" s="2088"/>
      <c r="AB24" s="2088"/>
      <c r="AC24" s="2088"/>
      <c r="AD24" s="2088"/>
      <c r="AE24" s="2088"/>
      <c r="AF24" s="2088"/>
      <c r="AG24" s="2088"/>
      <c r="AH24" s="2088"/>
      <c r="AI24" s="1019"/>
    </row>
    <row r="25" spans="1:42" ht="14.25" customHeight="1">
      <c r="Q25" s="261"/>
      <c r="R25" s="261"/>
      <c r="S25" s="2059" t="e">
        <f>IF(org=0,"Не определено",org)</f>
        <v>#REF!</v>
      </c>
      <c r="T25" s="2059"/>
      <c r="U25" s="2059"/>
      <c r="V25" s="2059"/>
      <c r="W25" s="2059"/>
      <c r="X25" s="2059"/>
      <c r="Y25" s="2059"/>
      <c r="Z25" s="2059"/>
      <c r="AA25" s="2059"/>
      <c r="AB25" s="2059"/>
      <c r="AC25" s="2059"/>
      <c r="AD25" s="2059"/>
      <c r="AE25" s="2059"/>
      <c r="AF25" s="2059"/>
      <c r="AG25" s="2059"/>
      <c r="AH25" s="2059"/>
      <c r="AI25" s="1019"/>
    </row>
    <row r="26" spans="1:42" ht="14.25" hidden="1" customHeight="1">
      <c r="Q26" s="261"/>
      <c r="R26" s="261"/>
      <c r="S26" s="1059"/>
      <c r="T26" s="246"/>
      <c r="U26" s="246"/>
      <c r="V26" s="203"/>
      <c r="W26" s="203"/>
      <c r="X26" s="203"/>
      <c r="Y26" s="203"/>
      <c r="Z26" s="203"/>
      <c r="AA26" s="203"/>
      <c r="AB26" s="203"/>
      <c r="AC26" s="203"/>
      <c r="AD26" s="203"/>
      <c r="AE26" s="203"/>
      <c r="AF26" s="203"/>
      <c r="AG26" s="203"/>
      <c r="AH26" s="203"/>
      <c r="AI26" s="203"/>
      <c r="AJ26" s="377"/>
    </row>
    <row r="27" spans="1:42" s="1692" customFormat="1" ht="25.5" hidden="1" customHeight="1">
      <c r="A27" s="1148"/>
      <c r="B27" s="1148"/>
      <c r="C27" s="1148"/>
      <c r="D27" s="1148"/>
      <c r="E27" s="1148"/>
      <c r="F27" s="1148"/>
      <c r="G27" s="1148"/>
      <c r="H27" s="1148"/>
      <c r="I27" s="1148"/>
      <c r="J27" s="1148"/>
      <c r="K27" s="1148"/>
      <c r="L27" s="1149"/>
      <c r="M27" s="1148"/>
      <c r="N27" s="1148"/>
      <c r="O27" s="1148"/>
      <c r="S27" s="2101" t="s">
        <v>6</v>
      </c>
      <c r="T27" s="2101"/>
      <c r="U27" s="1152"/>
      <c r="V27" s="2103" t="e">
        <f>IF(TITLE_NAME_OR_PR_CHANGE="",IF(TITLE_NAME_OR_PR="","",TITLE_NAME_OR_PR),TITLE_NAME_OR_PR_CHANGE)</f>
        <v>#REF!</v>
      </c>
      <c r="W27" s="2103"/>
      <c r="X27" s="2103"/>
      <c r="Y27" s="2103"/>
      <c r="Z27" s="2103"/>
      <c r="AA27" s="2103"/>
      <c r="AB27" s="209"/>
      <c r="AC27" s="2103" t="e">
        <f>IF(TITLE_NAME_OR_PR_CHANGE="",IF(TITLE_NAME_OR_PR="","",TITLE_NAME_OR_PR),TITLE_NAME_OR_PR_CHANGE)</f>
        <v>#REF!</v>
      </c>
      <c r="AD27" s="2103"/>
      <c r="AE27" s="2103"/>
      <c r="AF27" s="2103"/>
      <c r="AG27" s="2103"/>
      <c r="AH27" s="2103"/>
      <c r="AI27" s="209"/>
      <c r="AJ27" s="209"/>
      <c r="AK27" s="157"/>
      <c r="AL27" s="252"/>
      <c r="AM27" s="252"/>
      <c r="AN27" s="252"/>
      <c r="AO27" s="252"/>
      <c r="AP27" s="252"/>
    </row>
    <row r="28" spans="1:42" s="1692" customFormat="1" ht="18.75" hidden="1" customHeight="1">
      <c r="A28" s="1148"/>
      <c r="B28" s="1148"/>
      <c r="C28" s="1148"/>
      <c r="D28" s="1148"/>
      <c r="E28" s="1148"/>
      <c r="F28" s="1148"/>
      <c r="G28" s="1148"/>
      <c r="H28" s="1148"/>
      <c r="I28" s="1148"/>
      <c r="J28" s="1148"/>
      <c r="K28" s="1148"/>
      <c r="L28" s="1149"/>
      <c r="M28" s="1148"/>
      <c r="N28" s="1148"/>
      <c r="O28" s="1148"/>
      <c r="S28" s="2101" t="s">
        <v>349</v>
      </c>
      <c r="T28" s="2101"/>
      <c r="U28" s="1152"/>
      <c r="V28" s="2102" t="e">
        <f>IF(TITLE_DATE_PR_CHANGE="",IF(TITLE_DATE_PR="","",TITLE_DATE_PR),TITLE_DATE_PR_CHANGE)</f>
        <v>#REF!</v>
      </c>
      <c r="W28" s="2102"/>
      <c r="X28" s="2102"/>
      <c r="Y28" s="2102"/>
      <c r="Z28" s="2102"/>
      <c r="AA28" s="2102"/>
      <c r="AB28" s="209"/>
      <c r="AC28" s="2102" t="e">
        <f>IF(TITLE_DATE_PR_CHANGE="",IF(TITLE_DATE_PR="","",TITLE_DATE_PR),TITLE_DATE_PR_CHANGE)</f>
        <v>#REF!</v>
      </c>
      <c r="AD28" s="2102"/>
      <c r="AE28" s="2102"/>
      <c r="AF28" s="2102"/>
      <c r="AG28" s="2102"/>
      <c r="AH28" s="2102"/>
      <c r="AI28" s="209"/>
      <c r="AJ28" s="209"/>
      <c r="AK28" s="157"/>
      <c r="AL28" s="252"/>
      <c r="AM28" s="252"/>
      <c r="AN28" s="252"/>
      <c r="AO28" s="252"/>
      <c r="AP28" s="252"/>
    </row>
    <row r="29" spans="1:42" s="1692" customFormat="1" ht="18.75" hidden="1" customHeight="1">
      <c r="A29" s="1148"/>
      <c r="B29" s="1148"/>
      <c r="C29" s="1148"/>
      <c r="D29" s="1148"/>
      <c r="E29" s="1148"/>
      <c r="F29" s="1148"/>
      <c r="G29" s="1148"/>
      <c r="H29" s="1148"/>
      <c r="I29" s="1148"/>
      <c r="J29" s="1148"/>
      <c r="K29" s="1148"/>
      <c r="L29" s="1149"/>
      <c r="M29" s="1148"/>
      <c r="N29" s="1148"/>
      <c r="O29" s="1148"/>
      <c r="S29" s="2101" t="s">
        <v>350</v>
      </c>
      <c r="T29" s="2101"/>
      <c r="U29" s="1152"/>
      <c r="V29" s="2103" t="e">
        <f>IF(TITLE_NUMBER_PR_CHANGE="",IF(TITLE_NUMBER_PR="","",TITLE_NUMBER_PR),TITLE_NUMBER_PR_CHANGE)</f>
        <v>#REF!</v>
      </c>
      <c r="W29" s="2103"/>
      <c r="X29" s="2103"/>
      <c r="Y29" s="2103"/>
      <c r="Z29" s="2103"/>
      <c r="AA29" s="2103"/>
      <c r="AB29" s="209"/>
      <c r="AC29" s="2103" t="e">
        <f>IF(TITLE_NUMBER_PR_CHANGE="",IF(TITLE_NUMBER_PR="","",TITLE_NUMBER_PR),TITLE_NUMBER_PR_CHANGE)</f>
        <v>#REF!</v>
      </c>
      <c r="AD29" s="2103"/>
      <c r="AE29" s="2103"/>
      <c r="AF29" s="2103"/>
      <c r="AG29" s="2103"/>
      <c r="AH29" s="2103"/>
      <c r="AI29" s="209"/>
      <c r="AJ29" s="209"/>
      <c r="AK29" s="157"/>
      <c r="AL29" s="252"/>
      <c r="AM29" s="252"/>
      <c r="AN29" s="252"/>
      <c r="AO29" s="252"/>
      <c r="AP29" s="252"/>
    </row>
    <row r="30" spans="1:42" s="1692" customFormat="1" ht="18.75" hidden="1" customHeight="1">
      <c r="A30" s="1148"/>
      <c r="B30" s="1148"/>
      <c r="C30" s="1148"/>
      <c r="D30" s="1148"/>
      <c r="E30" s="1148"/>
      <c r="F30" s="1148"/>
      <c r="G30" s="1148"/>
      <c r="H30" s="1148"/>
      <c r="I30" s="1148"/>
      <c r="J30" s="1148"/>
      <c r="K30" s="1148"/>
      <c r="L30" s="1149"/>
      <c r="M30" s="1148"/>
      <c r="N30" s="1148"/>
      <c r="O30" s="1148"/>
      <c r="S30" s="2101" t="s">
        <v>7</v>
      </c>
      <c r="T30" s="2101"/>
      <c r="U30" s="1152"/>
      <c r="V30" s="2103" t="e">
        <f>IF(TITLE_IST_PUB_CHANGE="",IF(TITLE_IST_PUB="","",TITLE_IST_PUB),TITLE_IST_PUB_CHANGE)</f>
        <v>#REF!</v>
      </c>
      <c r="W30" s="2103"/>
      <c r="X30" s="2103"/>
      <c r="Y30" s="2103"/>
      <c r="Z30" s="2103"/>
      <c r="AA30" s="2103"/>
      <c r="AB30" s="209"/>
      <c r="AC30" s="2103" t="e">
        <f>IF(TITLE_IST_PUB_CHANGE="",IF(TITLE_IST_PUB="","",TITLE_IST_PUB),TITLE_IST_PUB_CHANGE)</f>
        <v>#REF!</v>
      </c>
      <c r="AD30" s="2103"/>
      <c r="AE30" s="2103"/>
      <c r="AF30" s="2103"/>
      <c r="AG30" s="2103"/>
      <c r="AH30" s="2103"/>
      <c r="AI30" s="209"/>
      <c r="AJ30" s="209"/>
      <c r="AK30" s="157"/>
      <c r="AL30" s="252"/>
      <c r="AM30" s="252"/>
      <c r="AN30" s="252"/>
      <c r="AO30" s="252"/>
      <c r="AP30" s="252"/>
    </row>
    <row r="31" spans="1:42" ht="14.25" hidden="1" customHeight="1">
      <c r="Q31" s="261"/>
      <c r="R31" s="261"/>
      <c r="S31" s="1059"/>
      <c r="T31" s="246"/>
      <c r="U31" s="246"/>
      <c r="V31" s="203"/>
      <c r="W31" s="203"/>
      <c r="X31" s="203"/>
      <c r="Y31" s="203"/>
      <c r="Z31" s="203"/>
      <c r="AA31" s="203"/>
      <c r="AB31" s="203"/>
      <c r="AC31" s="203"/>
      <c r="AD31" s="203"/>
      <c r="AE31" s="203"/>
      <c r="AF31" s="203"/>
      <c r="AG31" s="203"/>
      <c r="AH31" s="203"/>
      <c r="AI31" s="203"/>
      <c r="AJ31" s="377"/>
    </row>
    <row r="32" spans="1:42" s="1692" customFormat="1" ht="18.75" hidden="1" customHeight="1">
      <c r="A32" s="1148"/>
      <c r="B32" s="1148"/>
      <c r="C32" s="1148"/>
      <c r="D32" s="1148"/>
      <c r="E32" s="1148"/>
      <c r="F32" s="1148"/>
      <c r="G32" s="1148"/>
      <c r="H32" s="1148"/>
      <c r="I32" s="1148"/>
      <c r="J32" s="1148"/>
      <c r="K32" s="1148"/>
      <c r="L32" s="1149"/>
      <c r="M32" s="1148"/>
      <c r="N32" s="1148"/>
      <c r="O32" s="1148"/>
      <c r="S32" s="2101" t="s">
        <v>351</v>
      </c>
      <c r="T32" s="2101"/>
      <c r="U32" s="1152"/>
      <c r="V32" s="2102" t="e">
        <f>IF(TITLE_DATE_PR_CHANGE="",IF(TITLE_DATE_PR="","",TITLE_DATE_PR),TITLE_DATE_PR_CHANGE)</f>
        <v>#REF!</v>
      </c>
      <c r="W32" s="2102"/>
      <c r="X32" s="2102"/>
      <c r="Y32" s="2102"/>
      <c r="Z32" s="2102"/>
      <c r="AA32" s="2102"/>
      <c r="AB32" s="209"/>
      <c r="AC32" s="2102" t="e">
        <f>IF(TITLE_DATE_PR_CHANGE="",IF(TITLE_DATE_PR="","",TITLE_DATE_PR),TITLE_DATE_PR_CHANGE)</f>
        <v>#REF!</v>
      </c>
      <c r="AD32" s="2102"/>
      <c r="AE32" s="2102"/>
      <c r="AF32" s="2102"/>
      <c r="AG32" s="2102"/>
      <c r="AH32" s="2102"/>
      <c r="AI32" s="209"/>
      <c r="AJ32" s="209"/>
      <c r="AK32" s="157"/>
      <c r="AL32" s="252"/>
      <c r="AM32" s="252"/>
      <c r="AN32" s="252"/>
      <c r="AO32" s="252"/>
      <c r="AP32" s="252"/>
    </row>
    <row r="33" spans="1:42" s="1692" customFormat="1" ht="18.75" hidden="1" customHeight="1">
      <c r="A33" s="1148"/>
      <c r="B33" s="1148"/>
      <c r="C33" s="1148"/>
      <c r="D33" s="1148"/>
      <c r="E33" s="1148"/>
      <c r="F33" s="1148"/>
      <c r="G33" s="1148"/>
      <c r="H33" s="1148"/>
      <c r="I33" s="1148"/>
      <c r="J33" s="1148"/>
      <c r="K33" s="1148"/>
      <c r="L33" s="1149"/>
      <c r="M33" s="1148"/>
      <c r="N33" s="1148"/>
      <c r="O33" s="1148"/>
      <c r="S33" s="2101" t="s">
        <v>352</v>
      </c>
      <c r="T33" s="2101"/>
      <c r="U33" s="1152"/>
      <c r="V33" s="2103" t="e">
        <f>IF(TITLE_NUMBER_PR_CHANGE="",IF(TITLE_NUMBER_PR="","",TITLE_NUMBER_PR),TITLE_NUMBER_PR_CHANGE)</f>
        <v>#REF!</v>
      </c>
      <c r="W33" s="2103"/>
      <c r="X33" s="2103"/>
      <c r="Y33" s="2103"/>
      <c r="Z33" s="2103"/>
      <c r="AA33" s="2103"/>
      <c r="AB33" s="209"/>
      <c r="AC33" s="2103" t="e">
        <f>IF(TITLE_NUMBER_PR_CHANGE="",IF(TITLE_NUMBER_PR="","",TITLE_NUMBER_PR),TITLE_NUMBER_PR_CHANGE)</f>
        <v>#REF!</v>
      </c>
      <c r="AD33" s="2103"/>
      <c r="AE33" s="2103"/>
      <c r="AF33" s="2103"/>
      <c r="AG33" s="2103"/>
      <c r="AH33" s="2103"/>
      <c r="AI33" s="209"/>
      <c r="AJ33" s="209"/>
      <c r="AK33" s="157"/>
      <c r="AL33" s="252"/>
      <c r="AM33" s="252"/>
      <c r="AN33" s="252"/>
      <c r="AO33" s="252"/>
      <c r="AP33" s="252"/>
    </row>
    <row r="34" spans="1:42" s="1692" customFormat="1" ht="0.75" customHeight="1">
      <c r="A34" s="1148"/>
      <c r="B34" s="1148"/>
      <c r="C34" s="1148"/>
      <c r="D34" s="1148"/>
      <c r="E34" s="1148"/>
      <c r="F34" s="1148"/>
      <c r="G34" s="1148"/>
      <c r="H34" s="1148"/>
      <c r="I34" s="1148"/>
      <c r="J34" s="1148"/>
      <c r="K34" s="1148"/>
      <c r="L34" s="1149"/>
      <c r="M34" s="1148"/>
      <c r="N34" s="1148"/>
      <c r="O34" s="1148"/>
      <c r="S34" s="205"/>
      <c r="T34" s="205"/>
      <c r="U34" s="1258"/>
      <c r="V34" s="209"/>
      <c r="W34" s="209"/>
      <c r="X34" s="209"/>
      <c r="Y34" s="209"/>
      <c r="Z34" s="209"/>
      <c r="AA34" s="209"/>
      <c r="AB34" s="155" t="s">
        <v>353</v>
      </c>
      <c r="AC34" s="209"/>
      <c r="AD34" s="209"/>
      <c r="AE34" s="209"/>
      <c r="AF34" s="209"/>
      <c r="AG34" s="209"/>
      <c r="AH34" s="209"/>
      <c r="AI34" s="155" t="s">
        <v>353</v>
      </c>
      <c r="AL34" s="252"/>
      <c r="AM34" s="252"/>
      <c r="AN34" s="252"/>
      <c r="AO34" s="252"/>
      <c r="AP34" s="252"/>
    </row>
    <row r="35" spans="1:42" ht="14.25" customHeight="1">
      <c r="Q35" s="261"/>
      <c r="R35" s="261"/>
      <c r="S35" s="1059"/>
      <c r="T35" s="246"/>
      <c r="U35" s="1020"/>
      <c r="V35" s="2123"/>
      <c r="W35" s="2123"/>
      <c r="X35" s="2123"/>
      <c r="Y35" s="2123"/>
      <c r="Z35" s="2123"/>
      <c r="AA35" s="2123"/>
      <c r="AB35" s="2123"/>
      <c r="AC35" s="2123"/>
      <c r="AD35" s="2123"/>
      <c r="AE35" s="2123"/>
      <c r="AF35" s="2123"/>
      <c r="AG35" s="2123"/>
      <c r="AH35" s="2123"/>
      <c r="AI35" s="2123"/>
    </row>
    <row r="36" spans="1:42" ht="14.25" customHeight="1">
      <c r="Q36" s="261"/>
      <c r="R36" s="261"/>
      <c r="S36" s="2025" t="s">
        <v>224</v>
      </c>
      <c r="T36" s="2025"/>
      <c r="U36" s="2025"/>
      <c r="V36" s="2025"/>
      <c r="W36" s="2025"/>
      <c r="X36" s="2025"/>
      <c r="Y36" s="2025"/>
      <c r="Z36" s="2025"/>
      <c r="AA36" s="2025"/>
      <c r="AB36" s="2025"/>
      <c r="AC36" s="2025"/>
      <c r="AD36" s="2025"/>
      <c r="AE36" s="2025"/>
      <c r="AF36" s="2025"/>
      <c r="AG36" s="2025"/>
      <c r="AH36" s="2025"/>
      <c r="AI36" s="2025"/>
      <c r="AJ36" s="2025"/>
      <c r="AK36" s="2025" t="s">
        <v>225</v>
      </c>
    </row>
    <row r="37" spans="1:42" ht="14.25" customHeight="1">
      <c r="Q37" s="261"/>
      <c r="R37" s="261"/>
      <c r="S37" s="2124" t="s">
        <v>22</v>
      </c>
      <c r="T37" s="2068" t="s">
        <v>354</v>
      </c>
      <c r="U37" s="176"/>
      <c r="V37" s="2125" t="s">
        <v>355</v>
      </c>
      <c r="W37" s="2126"/>
      <c r="X37" s="2126"/>
      <c r="Y37" s="2126"/>
      <c r="Z37" s="2126"/>
      <c r="AA37" s="2127"/>
      <c r="AB37" s="2128" t="s">
        <v>356</v>
      </c>
      <c r="AC37" s="2125" t="s">
        <v>355</v>
      </c>
      <c r="AD37" s="2126"/>
      <c r="AE37" s="2126"/>
      <c r="AF37" s="2126"/>
      <c r="AG37" s="2126"/>
      <c r="AH37" s="2127"/>
      <c r="AI37" s="2128" t="s">
        <v>357</v>
      </c>
      <c r="AJ37" s="2131" t="s">
        <v>358</v>
      </c>
      <c r="AK37" s="2025"/>
    </row>
    <row r="38" spans="1:42" ht="33.75" customHeight="1">
      <c r="Q38" s="261"/>
      <c r="R38" s="261"/>
      <c r="S38" s="2124"/>
      <c r="T38" s="2068"/>
      <c r="U38" s="814"/>
      <c r="V38" s="1253" t="s">
        <v>415</v>
      </c>
      <c r="W38" s="1956" t="s">
        <v>361</v>
      </c>
      <c r="X38" s="1958"/>
      <c r="Y38" s="1956" t="s">
        <v>362</v>
      </c>
      <c r="Z38" s="1957"/>
      <c r="AA38" s="1958"/>
      <c r="AB38" s="2129"/>
      <c r="AC38" s="1253" t="s">
        <v>415</v>
      </c>
      <c r="AD38" s="1956" t="s">
        <v>361</v>
      </c>
      <c r="AE38" s="1958"/>
      <c r="AF38" s="1956" t="s">
        <v>362</v>
      </c>
      <c r="AG38" s="1957"/>
      <c r="AH38" s="1958"/>
      <c r="AI38" s="2129"/>
      <c r="AJ38" s="2132"/>
      <c r="AK38" s="2025"/>
    </row>
    <row r="39" spans="1:42" ht="86.25" customHeight="1">
      <c r="A39" s="1150"/>
      <c r="B39" s="1150" t="s">
        <v>73</v>
      </c>
      <c r="C39" s="1150" t="s">
        <v>74</v>
      </c>
      <c r="D39" s="1150" t="s">
        <v>75</v>
      </c>
      <c r="E39" s="1144" t="s">
        <v>363</v>
      </c>
      <c r="F39" s="1144" t="s">
        <v>364</v>
      </c>
      <c r="G39" s="1144" t="s">
        <v>365</v>
      </c>
      <c r="H39" s="1144"/>
      <c r="I39" s="1144" t="s">
        <v>416</v>
      </c>
      <c r="J39" s="1144" t="s">
        <v>368</v>
      </c>
      <c r="K39" s="1144" t="s">
        <v>417</v>
      </c>
      <c r="L39" s="1144" t="s">
        <v>344</v>
      </c>
      <c r="Q39" s="261"/>
      <c r="R39" s="261"/>
      <c r="S39" s="2124"/>
      <c r="T39" s="2068"/>
      <c r="U39" s="177"/>
      <c r="V39" s="1253" t="s">
        <v>442</v>
      </c>
      <c r="W39" s="995" t="s">
        <v>443</v>
      </c>
      <c r="X39" s="995" t="s">
        <v>420</v>
      </c>
      <c r="Y39" s="1259" t="s">
        <v>372</v>
      </c>
      <c r="Z39" s="2073" t="s">
        <v>373</v>
      </c>
      <c r="AA39" s="2087"/>
      <c r="AB39" s="2130"/>
      <c r="AC39" s="1253" t="s">
        <v>442</v>
      </c>
      <c r="AD39" s="995" t="s">
        <v>443</v>
      </c>
      <c r="AE39" s="995" t="s">
        <v>420</v>
      </c>
      <c r="AF39" s="1259" t="s">
        <v>372</v>
      </c>
      <c r="AG39" s="2073" t="s">
        <v>373</v>
      </c>
      <c r="AH39" s="2087"/>
      <c r="AI39" s="2130"/>
      <c r="AJ39" s="2133"/>
      <c r="AK39" s="2025"/>
    </row>
    <row r="40" spans="1:42" s="1621" customFormat="1" ht="11.25" hidden="1" customHeight="1">
      <c r="A40" s="1150"/>
      <c r="B40" s="1150"/>
      <c r="C40" s="1150"/>
      <c r="D40" s="1150"/>
      <c r="E40" s="1150"/>
      <c r="F40" s="1150"/>
      <c r="G40" s="1150"/>
      <c r="H40" s="1150"/>
      <c r="I40" s="1150"/>
      <c r="J40" s="1150"/>
      <c r="K40" s="1150"/>
      <c r="L40" s="1144"/>
      <c r="M40" s="1142"/>
      <c r="N40" s="1142"/>
      <c r="O40" s="1142"/>
      <c r="P40" s="1022"/>
      <c r="Q40" s="1023"/>
      <c r="R40" s="1038">
        <v>1</v>
      </c>
      <c r="S40" s="1061" t="s">
        <v>43</v>
      </c>
      <c r="T40" s="1039" t="s">
        <v>44</v>
      </c>
      <c r="U40" s="1021" t="str">
        <f ca="1">OFFSET(U40,0,-1)</f>
        <v>2</v>
      </c>
      <c r="V40" s="1252">
        <f ca="1">OFFSET(V40,0,-1)+1</f>
        <v>3</v>
      </c>
      <c r="W40" s="1252">
        <f ca="1">OFFSET(W40,0,-1)+1</f>
        <v>4</v>
      </c>
      <c r="X40" s="1252">
        <f ca="1">OFFSET(X40,0,-1)+1</f>
        <v>5</v>
      </c>
      <c r="Y40" s="1252">
        <f ca="1">OFFSET(Y40,0,-1)+1</f>
        <v>6</v>
      </c>
      <c r="Z40" s="2122">
        <f ca="1">OFFSET(Z40,0,-1)+1</f>
        <v>7</v>
      </c>
      <c r="AA40" s="2122"/>
      <c r="AB40" s="1252">
        <f ca="1">OFFSET(AB40,0,-2)+1</f>
        <v>8</v>
      </c>
      <c r="AC40" s="1252">
        <f ca="1">OFFSET(AC40,0,-1)+1</f>
        <v>9</v>
      </c>
      <c r="AD40" s="1252">
        <f ca="1">OFFSET(AD40,0,-1)+1</f>
        <v>10</v>
      </c>
      <c r="AE40" s="1252">
        <f ca="1">OFFSET(AE40,0,-1)+1</f>
        <v>11</v>
      </c>
      <c r="AF40" s="1252">
        <f ca="1">OFFSET(AF40,0,-1)+1</f>
        <v>12</v>
      </c>
      <c r="AG40" s="2122">
        <f ca="1">OFFSET(AG40,0,-1)+1</f>
        <v>13</v>
      </c>
      <c r="AH40" s="2122"/>
      <c r="AI40" s="1252">
        <f ca="1">OFFSET(AI40,0,-2)+1</f>
        <v>14</v>
      </c>
      <c r="AJ40" s="1021">
        <f ca="1">OFFSET(AJ40,0,-1)</f>
        <v>14</v>
      </c>
      <c r="AK40" s="1252">
        <f ca="1">OFFSET(AK40,0,-1)+1</f>
        <v>15</v>
      </c>
      <c r="AL40" s="379"/>
      <c r="AM40" s="379"/>
      <c r="AN40" s="379"/>
      <c r="AO40" s="379"/>
      <c r="AP40" s="379"/>
    </row>
    <row r="41" spans="1:42" ht="23.25" customHeight="1">
      <c r="A41" s="1143" t="s">
        <v>190</v>
      </c>
      <c r="B41" s="1143"/>
      <c r="C41" s="1143"/>
      <c r="D41" s="1143"/>
      <c r="E41" s="2111">
        <v>1</v>
      </c>
      <c r="F41" s="1143"/>
      <c r="G41" s="1143"/>
      <c r="H41" s="1143"/>
      <c r="I41" s="1143"/>
      <c r="J41" s="1143"/>
      <c r="K41" s="1143"/>
      <c r="L41" s="1144"/>
      <c r="M41" s="1145"/>
      <c r="N41" s="1145"/>
      <c r="O41" s="1145"/>
      <c r="P41" s="242"/>
      <c r="Q41" s="241"/>
      <c r="R41" s="236"/>
      <c r="S41" s="1263">
        <f>INDEX(PT_DIFFERENTIATION_NUM_NTAR,MATCH(A41,PT_DIFFERENTIATION_NTAR_ID,0))</f>
        <v>0</v>
      </c>
      <c r="T41" s="173" t="s">
        <v>61</v>
      </c>
      <c r="U41" s="175"/>
      <c r="V41" s="2104"/>
      <c r="W41" s="2105"/>
      <c r="X41" s="2105"/>
      <c r="Y41" s="2105"/>
      <c r="Z41" s="2105"/>
      <c r="AA41" s="2105"/>
      <c r="AB41" s="2106"/>
      <c r="AC41" s="2104" t="str">
        <f>INDEX(PT_DIFFERENTIATION_NTAR,MATCH(A41,PT_DIFFERENTIATION_NTAR_ID,0))</f>
        <v/>
      </c>
      <c r="AD41" s="2105"/>
      <c r="AE41" s="2105"/>
      <c r="AF41" s="2105"/>
      <c r="AG41" s="2105"/>
      <c r="AH41" s="2105"/>
      <c r="AI41" s="2105"/>
      <c r="AJ41" s="2106"/>
      <c r="AK41"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68"/>
      <c r="AN41" s="368" t="str">
        <f t="shared" ref="AN41:AN53" si="1">IF(T41="","",T41)</f>
        <v>Наименование тарифа</v>
      </c>
      <c r="AO41" s="368"/>
      <c r="AP41" s="368"/>
    </row>
    <row r="42" spans="1:42" ht="23.25" customHeight="1">
      <c r="A42" s="1143" t="s">
        <v>190</v>
      </c>
      <c r="B42" s="1143" t="s">
        <v>191</v>
      </c>
      <c r="C42" s="1143"/>
      <c r="D42" s="1143"/>
      <c r="E42" s="2112"/>
      <c r="F42" s="2111">
        <v>1</v>
      </c>
      <c r="G42" s="1143"/>
      <c r="H42" s="1143"/>
      <c r="I42" s="1143"/>
      <c r="J42" s="1143"/>
      <c r="K42" s="1143"/>
      <c r="L42" s="1144"/>
      <c r="M42" s="1145"/>
      <c r="N42" s="1145"/>
      <c r="O42" s="1145"/>
      <c r="P42" s="1257"/>
      <c r="Q42" s="233"/>
      <c r="R42" s="234"/>
      <c r="S42" s="1263" t="str">
        <f>INDEX(PT_DIFFERENTIATION_NUM_TER,MATCH(B42,PT_DIFFERENTIATION_TER_ID,0))</f>
        <v>.</v>
      </c>
      <c r="T42" s="185" t="s">
        <v>323</v>
      </c>
      <c r="U42" s="175"/>
      <c r="V42" s="2104"/>
      <c r="W42" s="2105"/>
      <c r="X42" s="2105"/>
      <c r="Y42" s="2105"/>
      <c r="Z42" s="2105"/>
      <c r="AA42" s="2105"/>
      <c r="AB42" s="2106"/>
      <c r="AC42" s="2104" t="str">
        <f>INDEX(PT_DIFFERENTIATION_TER,MATCH(B42,PT_DIFFERENTIATION_TER_ID,0))</f>
        <v/>
      </c>
      <c r="AD42" s="2105"/>
      <c r="AE42" s="2105"/>
      <c r="AF42" s="2105"/>
      <c r="AG42" s="2105"/>
      <c r="AH42" s="2105"/>
      <c r="AI42" s="2105"/>
      <c r="AJ42" s="2106"/>
      <c r="AK42" s="1044" t="s">
        <v>324</v>
      </c>
      <c r="AM42" s="368"/>
      <c r="AN42" s="368" t="str">
        <f t="shared" si="1"/>
        <v>Территория действия тарифа</v>
      </c>
      <c r="AO42" s="368"/>
      <c r="AP42" s="368"/>
    </row>
    <row r="43" spans="1:42" ht="23.25" customHeight="1">
      <c r="A43" s="1143" t="s">
        <v>190</v>
      </c>
      <c r="B43" s="1143" t="s">
        <v>191</v>
      </c>
      <c r="C43" s="1143" t="s">
        <v>192</v>
      </c>
      <c r="D43" s="1143"/>
      <c r="E43" s="2112"/>
      <c r="F43" s="2112"/>
      <c r="G43" s="2111">
        <v>1</v>
      </c>
      <c r="H43" s="1143"/>
      <c r="I43" s="1143"/>
      <c r="J43" s="1143"/>
      <c r="K43" s="1143"/>
      <c r="L43" s="1144"/>
      <c r="M43" s="1145"/>
      <c r="N43" s="1145"/>
      <c r="O43" s="1145"/>
      <c r="P43" s="235"/>
      <c r="Q43" s="233"/>
      <c r="R43" s="234"/>
      <c r="S43" s="1263" t="str">
        <f>INDEX(PT_DIFFERENTIATION_NUM_CS,MATCH(C43,PT_DIFFERENTIATION_CS_ID,0))</f>
        <v>..</v>
      </c>
      <c r="T43" s="186" t="s">
        <v>440</v>
      </c>
      <c r="U43" s="175"/>
      <c r="V43" s="2104"/>
      <c r="W43" s="2105"/>
      <c r="X43" s="2105"/>
      <c r="Y43" s="2105"/>
      <c r="Z43" s="2105"/>
      <c r="AA43" s="2105"/>
      <c r="AB43" s="2106"/>
      <c r="AC43" s="2104" t="str">
        <f>INDEX(PT_DIFFERENTIATION_CS,MATCH(C43,PT_DIFFERENTIATION_CS_ID,0))</f>
        <v/>
      </c>
      <c r="AD43" s="2105"/>
      <c r="AE43" s="2105"/>
      <c r="AF43" s="2105"/>
      <c r="AG43" s="2105"/>
      <c r="AH43" s="2105"/>
      <c r="AI43" s="2105"/>
      <c r="AJ43" s="2106"/>
      <c r="AK43" s="1044" t="s">
        <v>441</v>
      </c>
      <c r="AM43" s="368"/>
      <c r="AN43" s="368" t="str">
        <f t="shared" si="1"/>
        <v>Наименование централизованной системы водоотведения</v>
      </c>
      <c r="AO43" s="368"/>
      <c r="AP43" s="368"/>
    </row>
    <row r="44" spans="1:42" ht="23.25" customHeight="1">
      <c r="A44" s="1143" t="s">
        <v>190</v>
      </c>
      <c r="B44" s="1143" t="s">
        <v>191</v>
      </c>
      <c r="C44" s="1143" t="s">
        <v>192</v>
      </c>
      <c r="D44" s="1143" t="s">
        <v>444</v>
      </c>
      <c r="E44" s="2112"/>
      <c r="F44" s="2112"/>
      <c r="G44" s="2112"/>
      <c r="H44" s="2112"/>
      <c r="I44" s="2113" t="str">
        <f>S43&amp;".1"</f>
        <v>...1</v>
      </c>
      <c r="J44" s="1143"/>
      <c r="K44" s="1143"/>
      <c r="L44" s="1144"/>
      <c r="P44" s="2115">
        <v>1</v>
      </c>
      <c r="Q44" s="1251"/>
      <c r="R44" s="237"/>
      <c r="S44" s="1263" t="str">
        <f>$I44</f>
        <v>...1</v>
      </c>
      <c r="T44" s="161" t="s">
        <v>409</v>
      </c>
      <c r="U44" s="175"/>
      <c r="V44" s="2171"/>
      <c r="W44" s="2172"/>
      <c r="X44" s="2172"/>
      <c r="Y44" s="2172"/>
      <c r="Z44" s="2172"/>
      <c r="AA44" s="2172"/>
      <c r="AB44" s="2173"/>
      <c r="AC44" s="2174"/>
      <c r="AD44" s="2175"/>
      <c r="AE44" s="2175"/>
      <c r="AF44" s="2175"/>
      <c r="AG44" s="2175"/>
      <c r="AH44" s="2175"/>
      <c r="AI44" s="2175"/>
      <c r="AJ44" s="2176"/>
      <c r="AK44" s="1044" t="s">
        <v>410</v>
      </c>
      <c r="AM44" s="368"/>
      <c r="AN44" s="368" t="str">
        <f t="shared" si="1"/>
        <v>Наименование признака дифференциации</v>
      </c>
      <c r="AO44" s="368"/>
      <c r="AP44" s="368"/>
    </row>
    <row r="45" spans="1:42" ht="23.25" customHeight="1">
      <c r="A45" s="1143" t="s">
        <v>190</v>
      </c>
      <c r="B45" s="1143" t="s">
        <v>191</v>
      </c>
      <c r="C45" s="1143" t="s">
        <v>192</v>
      </c>
      <c r="D45" s="1143" t="s">
        <v>444</v>
      </c>
      <c r="E45" s="2112"/>
      <c r="F45" s="2112"/>
      <c r="G45" s="2112"/>
      <c r="H45" s="2112"/>
      <c r="I45" s="2114"/>
      <c r="J45" s="2113" t="str">
        <f>I44&amp;".1"</f>
        <v>...1.1</v>
      </c>
      <c r="K45" s="1143"/>
      <c r="L45" s="1144" t="s">
        <v>332</v>
      </c>
      <c r="P45" s="2115"/>
      <c r="Q45" s="2115">
        <v>1</v>
      </c>
      <c r="R45" s="238"/>
      <c r="S45" s="1263" t="str">
        <f>$J45</f>
        <v>...1.1</v>
      </c>
      <c r="T45" s="162" t="s">
        <v>333</v>
      </c>
      <c r="U45" s="175"/>
      <c r="V45" s="2098"/>
      <c r="W45" s="2099"/>
      <c r="X45" s="2099"/>
      <c r="Y45" s="2099"/>
      <c r="Z45" s="2099"/>
      <c r="AA45" s="2099"/>
      <c r="AB45" s="2100"/>
      <c r="AC45" s="2098"/>
      <c r="AD45" s="2099"/>
      <c r="AE45" s="2099"/>
      <c r="AF45" s="2099"/>
      <c r="AG45" s="2099"/>
      <c r="AH45" s="2099"/>
      <c r="AI45" s="2099"/>
      <c r="AJ45" s="2100"/>
      <c r="AK45" s="1090" t="s">
        <v>411</v>
      </c>
      <c r="AM45" s="368"/>
      <c r="AN45" s="368" t="str">
        <f t="shared" si="1"/>
        <v>Группа потребителей</v>
      </c>
      <c r="AO45" s="368"/>
      <c r="AP45" s="368"/>
    </row>
    <row r="46" spans="1:42" ht="23.25" customHeight="1">
      <c r="A46" s="1143" t="s">
        <v>190</v>
      </c>
      <c r="B46" s="1143" t="s">
        <v>191</v>
      </c>
      <c r="C46" s="1143" t="s">
        <v>192</v>
      </c>
      <c r="D46" s="1143" t="s">
        <v>444</v>
      </c>
      <c r="E46" s="2112"/>
      <c r="F46" s="2112"/>
      <c r="G46" s="2112"/>
      <c r="H46" s="2112"/>
      <c r="I46" s="2114"/>
      <c r="J46" s="2114"/>
      <c r="K46" s="2113" t="str">
        <f>J45&amp;".1"</f>
        <v>...1.1.1</v>
      </c>
      <c r="L46" s="1144"/>
      <c r="P46" s="2115"/>
      <c r="Q46" s="2115"/>
      <c r="R46" s="238">
        <v>1</v>
      </c>
      <c r="S46" s="1263" t="str">
        <f>$K46</f>
        <v>...1.1.1</v>
      </c>
      <c r="T46" s="1212"/>
      <c r="U46" s="175"/>
      <c r="V46" s="1140"/>
      <c r="W46" s="1140"/>
      <c r="X46" s="1141"/>
      <c r="Y46" s="2108"/>
      <c r="Z46" s="2107" t="s">
        <v>16</v>
      </c>
      <c r="AA46" s="2108"/>
      <c r="AB46" s="2107" t="s">
        <v>16</v>
      </c>
      <c r="AC46" s="576"/>
      <c r="AD46" s="576"/>
      <c r="AE46" s="1043"/>
      <c r="AF46" s="2116"/>
      <c r="AG46" s="2109" t="s">
        <v>16</v>
      </c>
      <c r="AH46" s="2118"/>
      <c r="AI46" s="2109" t="s">
        <v>15</v>
      </c>
      <c r="AJ46" s="1213"/>
      <c r="AK46"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79" t="e">
        <f ca="1">STRCHECKDATE(V47:AJ47)</f>
        <v>#NAME?</v>
      </c>
      <c r="AM46" s="368"/>
      <c r="AN46" s="368" t="str">
        <f t="shared" si="1"/>
        <v/>
      </c>
      <c r="AO46" s="368"/>
      <c r="AP46" s="368"/>
    </row>
    <row r="47" spans="1:42" ht="0" hidden="1" customHeight="1">
      <c r="A47" s="1143" t="s">
        <v>190</v>
      </c>
      <c r="B47" s="1143" t="s">
        <v>191</v>
      </c>
      <c r="C47" s="1143" t="s">
        <v>192</v>
      </c>
      <c r="D47" s="1143" t="s">
        <v>444</v>
      </c>
      <c r="E47" s="2112"/>
      <c r="F47" s="2112"/>
      <c r="G47" s="2112"/>
      <c r="H47" s="2112"/>
      <c r="I47" s="2114"/>
      <c r="J47" s="2114"/>
      <c r="K47" s="2113"/>
      <c r="L47" s="1144"/>
      <c r="P47" s="2115"/>
      <c r="Q47" s="2115"/>
      <c r="R47" s="238"/>
      <c r="S47" s="1260"/>
      <c r="T47" s="175"/>
      <c r="U47" s="175"/>
      <c r="V47" s="1140"/>
      <c r="W47" s="1140"/>
      <c r="X47" s="211" t="str">
        <f>Y46&amp;"-"&amp;AA46</f>
        <v>-</v>
      </c>
      <c r="Y47" s="2107"/>
      <c r="Z47" s="2107"/>
      <c r="AA47" s="2107"/>
      <c r="AB47" s="2107"/>
      <c r="AC47" s="207"/>
      <c r="AD47" s="207"/>
      <c r="AE47" s="211" t="str">
        <f>AF46&amp;"-"&amp;AH46</f>
        <v>-</v>
      </c>
      <c r="AF47" s="2117"/>
      <c r="AG47" s="2109"/>
      <c r="AH47" s="2119"/>
      <c r="AI47" s="2109"/>
      <c r="AJ47" s="1214"/>
      <c r="AK47" s="2177"/>
      <c r="AM47" s="368"/>
      <c r="AN47" s="368" t="str">
        <f t="shared" si="1"/>
        <v/>
      </c>
      <c r="AO47" s="368"/>
      <c r="AP47" s="368"/>
    </row>
    <row r="48" spans="1:42" ht="21" customHeight="1">
      <c r="A48" s="1143" t="s">
        <v>190</v>
      </c>
      <c r="B48" s="1143" t="s">
        <v>191</v>
      </c>
      <c r="C48" s="1143" t="s">
        <v>192</v>
      </c>
      <c r="D48" s="1143" t="s">
        <v>444</v>
      </c>
      <c r="E48" s="2112"/>
      <c r="F48" s="2112"/>
      <c r="G48" s="2112"/>
      <c r="H48" s="2112"/>
      <c r="I48" s="2114"/>
      <c r="J48" s="2113"/>
      <c r="K48" s="1143"/>
      <c r="L48" s="1144"/>
      <c r="P48" s="2115"/>
      <c r="Q48" s="2115"/>
      <c r="R48" s="237"/>
      <c r="S48" s="1062"/>
      <c r="T48" s="163" t="s">
        <v>412</v>
      </c>
      <c r="U48" s="251"/>
      <c r="V48" s="251"/>
      <c r="W48" s="251"/>
      <c r="X48" s="251"/>
      <c r="Y48" s="251"/>
      <c r="Z48" s="251"/>
      <c r="AA48" s="251"/>
      <c r="AB48" s="251"/>
      <c r="AC48" s="251"/>
      <c r="AD48" s="251"/>
      <c r="AE48" s="251"/>
      <c r="AF48" s="251"/>
      <c r="AG48" s="251"/>
      <c r="AH48" s="251"/>
      <c r="AI48" s="251"/>
      <c r="AJ48" s="251"/>
      <c r="AK48" s="1044" t="s">
        <v>413</v>
      </c>
      <c r="AM48" s="368"/>
      <c r="AN48" s="368" t="str">
        <f t="shared" si="1"/>
        <v>Добавить значение признака дифференциации</v>
      </c>
      <c r="AO48" s="368"/>
      <c r="AP48" s="368"/>
    </row>
    <row r="49" spans="1:42" ht="21" customHeight="1">
      <c r="A49" s="1143" t="s">
        <v>190</v>
      </c>
      <c r="B49" s="1143" t="s">
        <v>191</v>
      </c>
      <c r="C49" s="1143" t="s">
        <v>192</v>
      </c>
      <c r="D49" s="1143" t="s">
        <v>444</v>
      </c>
      <c r="E49" s="2112"/>
      <c r="F49" s="2112"/>
      <c r="G49" s="2112"/>
      <c r="H49" s="2112"/>
      <c r="I49" s="2113"/>
      <c r="J49" s="1143"/>
      <c r="K49" s="1143"/>
      <c r="L49" s="1144"/>
      <c r="P49" s="2115"/>
      <c r="Q49" s="1251"/>
      <c r="R49" s="237"/>
      <c r="S49" s="1062"/>
      <c r="T49" s="248" t="s">
        <v>338</v>
      </c>
      <c r="U49" s="251"/>
      <c r="V49" s="251"/>
      <c r="W49" s="251"/>
      <c r="X49" s="251"/>
      <c r="Y49" s="251"/>
      <c r="Z49" s="251"/>
      <c r="AA49" s="251"/>
      <c r="AB49" s="250"/>
      <c r="AC49" s="251"/>
      <c r="AD49" s="251"/>
      <c r="AE49" s="251"/>
      <c r="AF49" s="251"/>
      <c r="AG49" s="251"/>
      <c r="AH49" s="251"/>
      <c r="AI49" s="250"/>
      <c r="AJ49" s="251"/>
      <c r="AK49" s="1215"/>
      <c r="AM49" s="368"/>
      <c r="AN49" s="368" t="str">
        <f t="shared" si="1"/>
        <v>Добавить группу потребителей</v>
      </c>
      <c r="AO49" s="368"/>
      <c r="AP49" s="368"/>
    </row>
    <row r="50" spans="1:42" ht="21" customHeight="1">
      <c r="A50" s="1143" t="s">
        <v>190</v>
      </c>
      <c r="B50" s="1143" t="s">
        <v>191</v>
      </c>
      <c r="C50" s="1143" t="s">
        <v>192</v>
      </c>
      <c r="D50" s="1143" t="s">
        <v>444</v>
      </c>
      <c r="E50" s="2112"/>
      <c r="F50" s="2112"/>
      <c r="G50" s="2112"/>
      <c r="H50" s="2111"/>
      <c r="I50" s="1143"/>
      <c r="J50" s="1143"/>
      <c r="K50" s="1143"/>
      <c r="L50" s="1144"/>
      <c r="M50" s="1145"/>
      <c r="N50" s="1145"/>
      <c r="O50" s="395"/>
      <c r="P50" s="241"/>
      <c r="Q50" s="260"/>
      <c r="R50" s="236"/>
      <c r="S50" s="1062"/>
      <c r="T50" s="256" t="s">
        <v>414</v>
      </c>
      <c r="U50" s="251"/>
      <c r="V50" s="251"/>
      <c r="W50" s="251"/>
      <c r="X50" s="251"/>
      <c r="Y50" s="251"/>
      <c r="Z50" s="251"/>
      <c r="AA50" s="251"/>
      <c r="AB50" s="250"/>
      <c r="AC50" s="251"/>
      <c r="AD50" s="251"/>
      <c r="AE50" s="251"/>
      <c r="AF50" s="251"/>
      <c r="AG50" s="251"/>
      <c r="AH50" s="251"/>
      <c r="AI50" s="250"/>
      <c r="AJ50" s="251"/>
      <c r="AK50" s="178"/>
      <c r="AM50" s="368"/>
      <c r="AN50" s="368" t="str">
        <f t="shared" si="1"/>
        <v>Добавить наименование признака дифференциации</v>
      </c>
      <c r="AO50" s="368"/>
      <c r="AP50" s="368"/>
    </row>
    <row r="51" spans="1:42" s="1686" customFormat="1" ht="0" hidden="1" customHeight="1">
      <c r="A51" s="1124" t="s">
        <v>190</v>
      </c>
      <c r="B51" s="1124" t="s">
        <v>191</v>
      </c>
      <c r="C51" s="1096"/>
      <c r="D51" s="1096"/>
      <c r="E51" s="2112"/>
      <c r="F51" s="2111"/>
      <c r="G51" s="1096"/>
      <c r="H51" s="1096"/>
      <c r="I51" s="1096"/>
      <c r="J51" s="1096"/>
      <c r="K51" s="1096"/>
      <c r="L51" s="1264"/>
      <c r="M51" s="1103"/>
      <c r="N51" s="1103"/>
      <c r="P51" s="1098"/>
      <c r="Q51" s="1099"/>
      <c r="R51" s="1098"/>
      <c r="S51" s="1104"/>
      <c r="T51" s="1107" t="s">
        <v>341</v>
      </c>
      <c r="U51" s="1106"/>
      <c r="V51" s="1106"/>
      <c r="W51" s="1106"/>
      <c r="X51" s="1106"/>
      <c r="Y51" s="1106"/>
      <c r="Z51" s="1106"/>
      <c r="AA51" s="1106"/>
      <c r="AB51" s="1106"/>
      <c r="AC51" s="1106"/>
      <c r="AD51" s="1106"/>
      <c r="AE51" s="1106"/>
      <c r="AF51" s="1106"/>
      <c r="AG51" s="1106"/>
      <c r="AH51" s="1106"/>
      <c r="AI51" s="1106"/>
      <c r="AJ51" s="1106"/>
      <c r="AK51" s="1106"/>
      <c r="AM51" s="598"/>
      <c r="AN51" s="598" t="str">
        <f t="shared" si="1"/>
        <v>Добавить централизованную систему для дифференциации</v>
      </c>
      <c r="AO51" s="598"/>
      <c r="AP51" s="598"/>
    </row>
    <row r="52" spans="1:42" s="1622" customFormat="1" ht="0" hidden="1" customHeight="1">
      <c r="A52" s="1124" t="s">
        <v>190</v>
      </c>
      <c r="B52" s="1124"/>
      <c r="C52" s="1124"/>
      <c r="D52" s="1124"/>
      <c r="E52" s="2111"/>
      <c r="F52" s="1124"/>
      <c r="G52" s="1124"/>
      <c r="H52" s="1124"/>
      <c r="I52" s="1124"/>
      <c r="J52" s="1124"/>
      <c r="K52" s="1124"/>
      <c r="L52" s="1127"/>
      <c r="M52" s="1103"/>
      <c r="N52" s="1103"/>
      <c r="O52" s="386"/>
      <c r="P52" s="269"/>
      <c r="Q52" s="1125"/>
      <c r="R52" s="269"/>
      <c r="S52" s="1104"/>
      <c r="T52" s="1107" t="s">
        <v>342</v>
      </c>
      <c r="U52" s="1106"/>
      <c r="V52" s="1106"/>
      <c r="W52" s="1106"/>
      <c r="X52" s="1106"/>
      <c r="Y52" s="1106"/>
      <c r="Z52" s="1106"/>
      <c r="AA52" s="1106"/>
      <c r="AB52" s="1106"/>
      <c r="AC52" s="1106"/>
      <c r="AD52" s="1106"/>
      <c r="AE52" s="1106"/>
      <c r="AF52" s="1106"/>
      <c r="AG52" s="1106"/>
      <c r="AH52" s="1106"/>
      <c r="AI52" s="1106"/>
      <c r="AJ52" s="1106"/>
      <c r="AK52" s="1106"/>
      <c r="AM52" s="368"/>
      <c r="AN52" s="368" t="str">
        <f t="shared" si="1"/>
        <v>Добавить территорию для дифференциации</v>
      </c>
      <c r="AO52" s="368"/>
      <c r="AP52" s="368"/>
    </row>
    <row r="53" spans="1:42" s="1686" customFormat="1" ht="0" hidden="1" customHeight="1">
      <c r="A53" s="1096"/>
      <c r="B53" s="1096"/>
      <c r="C53" s="1096"/>
      <c r="D53" s="1096"/>
      <c r="E53" s="1124"/>
      <c r="F53" s="1096"/>
      <c r="G53" s="1096"/>
      <c r="H53" s="1096"/>
      <c r="I53" s="1096"/>
      <c r="J53" s="1096"/>
      <c r="K53" s="1096"/>
      <c r="L53" s="1264"/>
      <c r="M53" s="1103"/>
      <c r="N53" s="1103"/>
      <c r="P53" s="1098"/>
      <c r="Q53" s="1099"/>
      <c r="R53" s="1098"/>
      <c r="S53" s="1104"/>
      <c r="T53" s="1107" t="s">
        <v>374</v>
      </c>
      <c r="U53" s="1106"/>
      <c r="V53" s="1106"/>
      <c r="W53" s="1106"/>
      <c r="X53" s="1106"/>
      <c r="Y53" s="1106"/>
      <c r="Z53" s="1106"/>
      <c r="AA53" s="1106"/>
      <c r="AB53" s="1106"/>
      <c r="AC53" s="1106"/>
      <c r="AD53" s="1106"/>
      <c r="AE53" s="1106"/>
      <c r="AF53" s="1106"/>
      <c r="AG53" s="1106"/>
      <c r="AH53" s="1106"/>
      <c r="AI53" s="1106"/>
      <c r="AJ53" s="1106"/>
      <c r="AK53" s="1106"/>
      <c r="AM53" s="598"/>
      <c r="AN53" s="598" t="str">
        <f t="shared" si="1"/>
        <v>Добавить наименование тарифа</v>
      </c>
      <c r="AO53" s="598"/>
      <c r="AP53" s="598"/>
    </row>
    <row r="54" spans="1:42" ht="11.25" customHeight="1">
      <c r="M54" s="929"/>
      <c r="N54" s="929"/>
      <c r="O54" s="395"/>
      <c r="P54" s="924"/>
      <c r="Q54" s="924"/>
      <c r="R54" s="924"/>
      <c r="S54" s="924"/>
      <c r="AL54" s="924"/>
      <c r="AM54" s="924"/>
      <c r="AN54" s="924"/>
      <c r="AO54" s="924"/>
      <c r="AP54" s="924"/>
    </row>
    <row r="55" spans="1:42" ht="14.25" customHeight="1">
      <c r="O55" s="395"/>
      <c r="S55" s="1031"/>
      <c r="T55" s="2110"/>
      <c r="U55" s="2110"/>
      <c r="V55" s="2110"/>
      <c r="W55" s="2110"/>
      <c r="X55" s="2110"/>
      <c r="Y55" s="2110"/>
      <c r="Z55" s="2110"/>
      <c r="AA55" s="2110"/>
      <c r="AB55" s="2110"/>
      <c r="AC55" s="2110"/>
      <c r="AD55" s="2110"/>
      <c r="AE55" s="2110"/>
      <c r="AF55" s="2110"/>
      <c r="AG55" s="2110"/>
      <c r="AH55" s="2110"/>
      <c r="AI55" s="2110"/>
      <c r="AJ55" s="2110"/>
      <c r="AK55" s="2110"/>
    </row>
    <row r="56" spans="1:42" ht="14.25" customHeight="1">
      <c r="O56" s="395"/>
    </row>
    <row r="57" spans="1:42" ht="14.25" customHeight="1">
      <c r="O57" s="395"/>
      <c r="S57" s="1031"/>
      <c r="T57" s="2110"/>
      <c r="U57" s="2110"/>
      <c r="V57" s="2110"/>
      <c r="W57" s="2110"/>
      <c r="X57" s="2110"/>
      <c r="Y57" s="2110"/>
      <c r="Z57" s="2110"/>
      <c r="AA57" s="2110"/>
      <c r="AB57" s="2110"/>
      <c r="AC57" s="2110"/>
      <c r="AD57" s="2110"/>
      <c r="AE57" s="2110"/>
      <c r="AF57" s="2110"/>
      <c r="AG57" s="2110"/>
      <c r="AH57" s="2110"/>
      <c r="AI57" s="2110"/>
      <c r="AJ57" s="2110"/>
      <c r="AK57" s="211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687" hidden="1"/>
    <col min="2" max="2" width="11" style="1687" hidden="1" customWidth="1"/>
    <col min="3" max="3" width="10.5703125" style="1687" hidden="1"/>
    <col min="4" max="4" width="11.85546875" style="1687" hidden="1" customWidth="1"/>
    <col min="5" max="5" width="10" style="1687" hidden="1" customWidth="1"/>
    <col min="6" max="6" width="8.7109375" style="1687" hidden="1" customWidth="1"/>
    <col min="7" max="7" width="7.5703125" style="1687" hidden="1" customWidth="1"/>
    <col min="8" max="8" width="11.42578125" style="1687" hidden="1" customWidth="1"/>
    <col min="9" max="9" width="14.140625" style="1687" hidden="1" customWidth="1"/>
    <col min="10" max="10" width="9.85546875" style="1687" hidden="1" customWidth="1"/>
    <col min="11" max="11" width="14.7109375" style="1687" hidden="1" customWidth="1"/>
    <col min="12" max="12" width="19.140625" style="1706" hidden="1" customWidth="1"/>
    <col min="13" max="14" width="12.28515625" style="1689" hidden="1" customWidth="1"/>
    <col min="15" max="15" width="23.42578125" style="1689" hidden="1" customWidth="1"/>
    <col min="16" max="16" width="3.7109375" style="1707" customWidth="1"/>
    <col min="17" max="18" width="3.7109375" style="1695" customWidth="1"/>
    <col min="19" max="19" width="12.7109375" style="1696" customWidth="1"/>
    <col min="20" max="20" width="35.7109375" style="1661" customWidth="1"/>
    <col min="21" max="21" width="0.140625" style="1661" customWidth="1"/>
    <col min="22" max="24" width="24.7109375" style="1661" hidden="1" customWidth="1"/>
    <col min="25" max="25" width="11.7109375" style="1661" hidden="1" customWidth="1"/>
    <col min="26" max="26" width="3.7109375" style="1661" hidden="1" customWidth="1"/>
    <col min="27" max="27" width="11.7109375" style="1661" hidden="1" customWidth="1"/>
    <col min="28" max="28" width="8.5703125" style="1661" hidden="1" customWidth="1"/>
    <col min="29" max="31" width="24.7109375" style="1661" customWidth="1"/>
    <col min="32" max="32" width="11.7109375" style="1661" customWidth="1"/>
    <col min="33" max="33" width="3.7109375" style="1661" customWidth="1"/>
    <col min="34" max="34" width="11.7109375" style="1661" customWidth="1"/>
    <col min="35" max="35" width="8.5703125" style="1661" hidden="1" customWidth="1"/>
    <col min="36" max="36" width="4.7109375" style="1661" customWidth="1"/>
    <col min="37" max="37" width="115.7109375" style="1661" customWidth="1"/>
    <col min="38" max="39" width="10.5703125" style="1622"/>
    <col min="40" max="40" width="11.140625" style="1622" customWidth="1"/>
    <col min="41" max="42" width="10.5703125" style="1622"/>
  </cols>
  <sheetData>
    <row r="1" spans="1:42" ht="14.25" hidden="1" customHeight="1">
      <c r="X1" s="210"/>
      <c r="Y1" s="210"/>
      <c r="AE1" s="210"/>
      <c r="AF1" s="210"/>
    </row>
    <row r="2" spans="1:42" ht="23.25" hidden="1" customHeight="1">
      <c r="A2" s="1143"/>
      <c r="B2" s="1143"/>
      <c r="C2" s="1143"/>
      <c r="D2" s="1143"/>
      <c r="E2" s="2111">
        <v>1</v>
      </c>
      <c r="F2" s="1143"/>
      <c r="G2" s="1143"/>
      <c r="H2" s="1143"/>
      <c r="I2" s="1143"/>
      <c r="J2" s="1143"/>
      <c r="K2" s="1143"/>
      <c r="L2" s="1144"/>
      <c r="M2" s="1145"/>
      <c r="N2" s="1145"/>
      <c r="O2" s="1145"/>
      <c r="P2" s="242"/>
      <c r="Q2" s="241"/>
      <c r="R2" s="236"/>
      <c r="S2" s="1263" t="e">
        <f>INDEX(PT_DIFFERENTIATION_NUM_NTAR,MATCH(A2,PT_DIFFERENTIATION_NTAR_ID,0))</f>
        <v>#N/A</v>
      </c>
      <c r="T2" s="173" t="s">
        <v>61</v>
      </c>
      <c r="U2" s="175"/>
      <c r="V2" s="2104"/>
      <c r="W2" s="2105"/>
      <c r="X2" s="2105"/>
      <c r="Y2" s="2105"/>
      <c r="Z2" s="2105"/>
      <c r="AA2" s="2105"/>
      <c r="AB2" s="2106"/>
      <c r="AC2" s="2104" t="e">
        <f>INDEX(PT_DIFFERENTIATION_NTAR,MATCH(A2,PT_DIFFERENTIATION_NTAR_ID,0))</f>
        <v>#N/A</v>
      </c>
      <c r="AD2" s="2105"/>
      <c r="AE2" s="2105"/>
      <c r="AF2" s="2105"/>
      <c r="AG2" s="2105"/>
      <c r="AH2" s="2105"/>
      <c r="AI2" s="2105"/>
      <c r="AJ2" s="2106"/>
      <c r="AK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68"/>
      <c r="AN2" s="368" t="str">
        <f t="shared" ref="AN2:AN13" si="0">IF(T2="","",T2)</f>
        <v>Наименование тарифа</v>
      </c>
      <c r="AO2" s="368"/>
      <c r="AP2" s="368"/>
    </row>
    <row r="3" spans="1:42" ht="23.25" hidden="1" customHeight="1">
      <c r="A3" s="1143"/>
      <c r="B3" s="1143"/>
      <c r="C3" s="1143"/>
      <c r="D3" s="1143"/>
      <c r="E3" s="2112"/>
      <c r="F3" s="2111">
        <v>1</v>
      </c>
      <c r="G3" s="1143"/>
      <c r="H3" s="1143"/>
      <c r="I3" s="1143"/>
      <c r="J3" s="1143"/>
      <c r="K3" s="1143"/>
      <c r="L3" s="1144"/>
      <c r="M3" s="1145"/>
      <c r="N3" s="1145"/>
      <c r="O3" s="1145"/>
      <c r="P3" s="1257"/>
      <c r="Q3" s="233"/>
      <c r="R3" s="234"/>
      <c r="S3" s="1263" t="e">
        <f>INDEX(PT_DIFFERENTIATION_NUM_TER,MATCH(B3,PT_DIFFERENTIATION_TER_ID,0))</f>
        <v>#N/A</v>
      </c>
      <c r="T3" s="185" t="s">
        <v>323</v>
      </c>
      <c r="U3" s="175"/>
      <c r="V3" s="2104"/>
      <c r="W3" s="2105"/>
      <c r="X3" s="2105"/>
      <c r="Y3" s="2105"/>
      <c r="Z3" s="2105"/>
      <c r="AA3" s="2105"/>
      <c r="AB3" s="2106"/>
      <c r="AC3" s="2104" t="e">
        <f>INDEX(PT_DIFFERENTIATION_TER,MATCH(B3,PT_DIFFERENTIATION_TER_ID,0))</f>
        <v>#N/A</v>
      </c>
      <c r="AD3" s="2105"/>
      <c r="AE3" s="2105"/>
      <c r="AF3" s="2105"/>
      <c r="AG3" s="2105"/>
      <c r="AH3" s="2105"/>
      <c r="AI3" s="2105"/>
      <c r="AJ3" s="2106"/>
      <c r="AK3" s="1044" t="s">
        <v>324</v>
      </c>
      <c r="AM3" s="368"/>
      <c r="AN3" s="368" t="str">
        <f t="shared" si="0"/>
        <v>Территория действия тарифа</v>
      </c>
      <c r="AO3" s="368"/>
      <c r="AP3" s="368"/>
    </row>
    <row r="4" spans="1:42" ht="23.25" hidden="1" customHeight="1">
      <c r="A4" s="1143"/>
      <c r="B4" s="1143"/>
      <c r="C4" s="1143"/>
      <c r="D4" s="1143"/>
      <c r="E4" s="2112"/>
      <c r="F4" s="2112"/>
      <c r="G4" s="2111">
        <v>1</v>
      </c>
      <c r="H4" s="1143"/>
      <c r="I4" s="1143"/>
      <c r="J4" s="1143"/>
      <c r="K4" s="1143"/>
      <c r="L4" s="1144"/>
      <c r="M4" s="1145"/>
      <c r="N4" s="1145"/>
      <c r="O4" s="1145"/>
      <c r="P4" s="235"/>
      <c r="Q4" s="233"/>
      <c r="R4" s="234"/>
      <c r="S4" s="1263" t="e">
        <f>INDEX(PT_DIFFERENTIATION_NUM_CS,MATCH(C4,PT_DIFFERENTIATION_CS_ID,0))</f>
        <v>#N/A</v>
      </c>
      <c r="T4" s="186" t="s">
        <v>440</v>
      </c>
      <c r="U4" s="175"/>
      <c r="V4" s="2104"/>
      <c r="W4" s="2105"/>
      <c r="X4" s="2105"/>
      <c r="Y4" s="2105"/>
      <c r="Z4" s="2105"/>
      <c r="AA4" s="2105"/>
      <c r="AB4" s="2106"/>
      <c r="AC4" s="2104" t="e">
        <f>INDEX(PT_DIFFERENTIATION_CS,MATCH(C4,PT_DIFFERENTIATION_CS_ID,0))</f>
        <v>#N/A</v>
      </c>
      <c r="AD4" s="2105"/>
      <c r="AE4" s="2105"/>
      <c r="AF4" s="2105"/>
      <c r="AG4" s="2105"/>
      <c r="AH4" s="2105"/>
      <c r="AI4" s="2105"/>
      <c r="AJ4" s="2106"/>
      <c r="AK4" s="1044" t="s">
        <v>441</v>
      </c>
      <c r="AM4" s="368"/>
      <c r="AN4" s="368" t="str">
        <f t="shared" si="0"/>
        <v>Наименование централизованной системы водоотведения</v>
      </c>
      <c r="AO4" s="368"/>
      <c r="AP4" s="368"/>
    </row>
    <row r="5" spans="1:42" ht="23.25" hidden="1" customHeight="1">
      <c r="A5" s="1143"/>
      <c r="B5" s="1143"/>
      <c r="C5" s="1143"/>
      <c r="D5" s="1143"/>
      <c r="E5" s="2112"/>
      <c r="F5" s="2112"/>
      <c r="G5" s="2112"/>
      <c r="H5" s="2112"/>
      <c r="I5" s="2113" t="e">
        <f>S4&amp;".1"</f>
        <v>#N/A</v>
      </c>
      <c r="J5" s="1143"/>
      <c r="K5" s="1143"/>
      <c r="L5" s="1144"/>
      <c r="P5" s="2115">
        <v>1</v>
      </c>
      <c r="Q5" s="1251"/>
      <c r="R5" s="237"/>
      <c r="S5" s="1263" t="e">
        <f>$I5</f>
        <v>#N/A</v>
      </c>
      <c r="T5" s="161" t="s">
        <v>409</v>
      </c>
      <c r="U5" s="175"/>
      <c r="V5" s="2171"/>
      <c r="W5" s="2172"/>
      <c r="X5" s="2172"/>
      <c r="Y5" s="2172"/>
      <c r="Z5" s="2172"/>
      <c r="AA5" s="2172"/>
      <c r="AB5" s="2173"/>
      <c r="AC5" s="2174"/>
      <c r="AD5" s="2175"/>
      <c r="AE5" s="2175"/>
      <c r="AF5" s="2175"/>
      <c r="AG5" s="2175"/>
      <c r="AH5" s="2175"/>
      <c r="AI5" s="2175"/>
      <c r="AJ5" s="2176"/>
      <c r="AK5" s="1044" t="s">
        <v>410</v>
      </c>
      <c r="AM5" s="368"/>
      <c r="AN5" s="368" t="str">
        <f t="shared" si="0"/>
        <v>Наименование признака дифференциации</v>
      </c>
      <c r="AO5" s="368"/>
      <c r="AP5" s="368"/>
    </row>
    <row r="6" spans="1:42" ht="23.25" hidden="1" customHeight="1">
      <c r="A6" s="1143"/>
      <c r="B6" s="1143"/>
      <c r="C6" s="1143"/>
      <c r="D6" s="1143"/>
      <c r="E6" s="2112"/>
      <c r="F6" s="2112"/>
      <c r="G6" s="2112"/>
      <c r="H6" s="2112"/>
      <c r="I6" s="2114"/>
      <c r="J6" s="2113" t="e">
        <f>I5&amp;".1"</f>
        <v>#N/A</v>
      </c>
      <c r="K6" s="1143"/>
      <c r="L6" s="1144" t="s">
        <v>332</v>
      </c>
      <c r="P6" s="2115"/>
      <c r="Q6" s="2115">
        <v>1</v>
      </c>
      <c r="R6" s="238"/>
      <c r="S6" s="1263" t="e">
        <f>$J6</f>
        <v>#N/A</v>
      </c>
      <c r="T6" s="162" t="s">
        <v>333</v>
      </c>
      <c r="U6" s="175"/>
      <c r="V6" s="2098"/>
      <c r="W6" s="2099"/>
      <c r="X6" s="2099"/>
      <c r="Y6" s="2099"/>
      <c r="Z6" s="2099"/>
      <c r="AA6" s="2099"/>
      <c r="AB6" s="2100"/>
      <c r="AC6" s="2098"/>
      <c r="AD6" s="2099"/>
      <c r="AE6" s="2099"/>
      <c r="AF6" s="2099"/>
      <c r="AG6" s="2099"/>
      <c r="AH6" s="2099"/>
      <c r="AI6" s="2099"/>
      <c r="AJ6" s="2100"/>
      <c r="AK6" s="1090" t="s">
        <v>411</v>
      </c>
      <c r="AM6" s="368"/>
      <c r="AN6" s="368" t="str">
        <f t="shared" si="0"/>
        <v>Группа потребителей</v>
      </c>
      <c r="AO6" s="368"/>
      <c r="AP6" s="368"/>
    </row>
    <row r="7" spans="1:42" ht="23.25" hidden="1" customHeight="1">
      <c r="A7" s="1143"/>
      <c r="B7" s="1143"/>
      <c r="C7" s="1143"/>
      <c r="D7" s="1143"/>
      <c r="E7" s="2112"/>
      <c r="F7" s="2112"/>
      <c r="G7" s="2112"/>
      <c r="H7" s="2112"/>
      <c r="I7" s="2114"/>
      <c r="J7" s="2114"/>
      <c r="K7" s="2113" t="e">
        <f>J6&amp;".1"</f>
        <v>#N/A</v>
      </c>
      <c r="L7" s="1144"/>
      <c r="P7" s="2115"/>
      <c r="Q7" s="2115"/>
      <c r="R7" s="238">
        <v>1</v>
      </c>
      <c r="S7" s="1263" t="e">
        <f>$K7</f>
        <v>#N/A</v>
      </c>
      <c r="T7" s="1212"/>
      <c r="U7" s="175"/>
      <c r="V7" s="576"/>
      <c r="W7" s="576"/>
      <c r="X7" s="1043"/>
      <c r="Y7" s="2116"/>
      <c r="Z7" s="2109" t="s">
        <v>16</v>
      </c>
      <c r="AA7" s="2116"/>
      <c r="AB7" s="2109" t="s">
        <v>16</v>
      </c>
      <c r="AC7" s="576"/>
      <c r="AD7" s="576"/>
      <c r="AE7" s="1043"/>
      <c r="AF7" s="2116"/>
      <c r="AG7" s="2109" t="s">
        <v>16</v>
      </c>
      <c r="AH7" s="2118"/>
      <c r="AI7" s="2109" t="s">
        <v>16</v>
      </c>
      <c r="AJ7" s="1213"/>
      <c r="AK7"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79" t="e">
        <f ca="1">STRCHECKDATE(V8:AJ8)</f>
        <v>#NAME?</v>
      </c>
      <c r="AM7" s="368"/>
      <c r="AN7" s="368" t="str">
        <f t="shared" si="0"/>
        <v/>
      </c>
      <c r="AO7" s="368"/>
      <c r="AP7" s="368"/>
    </row>
    <row r="8" spans="1:42" ht="14.25" hidden="1" customHeight="1">
      <c r="A8" s="1143"/>
      <c r="B8" s="1143"/>
      <c r="C8" s="1143"/>
      <c r="D8" s="1143"/>
      <c r="E8" s="2112"/>
      <c r="F8" s="2112"/>
      <c r="G8" s="2112"/>
      <c r="H8" s="2112"/>
      <c r="I8" s="2114"/>
      <c r="J8" s="2114"/>
      <c r="K8" s="2113"/>
      <c r="L8" s="1144"/>
      <c r="P8" s="2115"/>
      <c r="Q8" s="2115"/>
      <c r="R8" s="238"/>
      <c r="S8" s="1260"/>
      <c r="T8" s="175"/>
      <c r="U8" s="175"/>
      <c r="V8" s="207"/>
      <c r="W8" s="207"/>
      <c r="X8" s="211" t="str">
        <f>Y7&amp;"-"&amp;AA7</f>
        <v>-</v>
      </c>
      <c r="Y8" s="2117"/>
      <c r="Z8" s="2109"/>
      <c r="AA8" s="2117"/>
      <c r="AB8" s="2109"/>
      <c r="AC8" s="207"/>
      <c r="AD8" s="207"/>
      <c r="AE8" s="211" t="str">
        <f>AF7&amp;"-"&amp;AH7</f>
        <v>-</v>
      </c>
      <c r="AF8" s="2117"/>
      <c r="AG8" s="2109"/>
      <c r="AH8" s="2119"/>
      <c r="AI8" s="2109"/>
      <c r="AJ8" s="1214"/>
      <c r="AK8" s="2177"/>
      <c r="AM8" s="368"/>
      <c r="AN8" s="368" t="str">
        <f t="shared" si="0"/>
        <v/>
      </c>
      <c r="AO8" s="368"/>
      <c r="AP8" s="368"/>
    </row>
    <row r="9" spans="1:42" ht="21" hidden="1" customHeight="1">
      <c r="A9" s="1143"/>
      <c r="B9" s="1143"/>
      <c r="C9" s="1143"/>
      <c r="D9" s="1143"/>
      <c r="E9" s="2112"/>
      <c r="F9" s="2112"/>
      <c r="G9" s="2112"/>
      <c r="H9" s="2112"/>
      <c r="I9" s="2114"/>
      <c r="J9" s="2113"/>
      <c r="K9" s="1143"/>
      <c r="L9" s="1144"/>
      <c r="P9" s="2115"/>
      <c r="Q9" s="2115"/>
      <c r="R9" s="237"/>
      <c r="S9" s="1062"/>
      <c r="T9" s="163" t="s">
        <v>412</v>
      </c>
      <c r="U9" s="251"/>
      <c r="V9" s="251"/>
      <c r="W9" s="251"/>
      <c r="X9" s="251"/>
      <c r="Y9" s="251"/>
      <c r="Z9" s="251"/>
      <c r="AA9" s="251"/>
      <c r="AB9" s="251"/>
      <c r="AC9" s="251"/>
      <c r="AD9" s="251"/>
      <c r="AE9" s="251"/>
      <c r="AF9" s="251"/>
      <c r="AG9" s="251"/>
      <c r="AH9" s="251"/>
      <c r="AI9" s="251"/>
      <c r="AJ9" s="251"/>
      <c r="AK9" s="1044" t="s">
        <v>413</v>
      </c>
      <c r="AM9" s="368"/>
      <c r="AN9" s="368" t="str">
        <f t="shared" si="0"/>
        <v>Добавить значение признака дифференциации</v>
      </c>
      <c r="AO9" s="368"/>
      <c r="AP9" s="368"/>
    </row>
    <row r="10" spans="1:42" ht="21" hidden="1" customHeight="1">
      <c r="A10" s="1143"/>
      <c r="B10" s="1143"/>
      <c r="C10" s="1143"/>
      <c r="D10" s="1143"/>
      <c r="E10" s="2112"/>
      <c r="F10" s="2112"/>
      <c r="G10" s="2112"/>
      <c r="H10" s="2112"/>
      <c r="I10" s="2113"/>
      <c r="J10" s="1143"/>
      <c r="K10" s="1143"/>
      <c r="L10" s="1144"/>
      <c r="P10" s="2115"/>
      <c r="Q10" s="1251"/>
      <c r="R10" s="237"/>
      <c r="S10" s="1062"/>
      <c r="T10" s="248" t="s">
        <v>338</v>
      </c>
      <c r="U10" s="251"/>
      <c r="V10" s="251"/>
      <c r="W10" s="251"/>
      <c r="X10" s="251"/>
      <c r="Y10" s="251"/>
      <c r="Z10" s="251"/>
      <c r="AA10" s="251"/>
      <c r="AB10" s="250"/>
      <c r="AC10" s="251"/>
      <c r="AD10" s="251"/>
      <c r="AE10" s="251"/>
      <c r="AF10" s="251"/>
      <c r="AG10" s="251"/>
      <c r="AH10" s="251"/>
      <c r="AI10" s="250"/>
      <c r="AJ10" s="251"/>
      <c r="AK10" s="1215"/>
      <c r="AM10" s="368"/>
      <c r="AN10" s="368" t="str">
        <f t="shared" si="0"/>
        <v>Добавить группу потребителей</v>
      </c>
      <c r="AO10" s="368"/>
      <c r="AP10" s="368"/>
    </row>
    <row r="11" spans="1:42" ht="21" hidden="1" customHeight="1">
      <c r="A11" s="1143"/>
      <c r="B11" s="1143"/>
      <c r="C11" s="1143"/>
      <c r="D11" s="1143"/>
      <c r="E11" s="2112"/>
      <c r="F11" s="2112"/>
      <c r="G11" s="2112"/>
      <c r="H11" s="2111"/>
      <c r="I11" s="1143"/>
      <c r="J11" s="1143"/>
      <c r="K11" s="1143"/>
      <c r="L11" s="1144"/>
      <c r="M11" s="1145"/>
      <c r="N11" s="1145"/>
      <c r="O11" s="395"/>
      <c r="P11" s="241"/>
      <c r="Q11" s="260"/>
      <c r="R11" s="236"/>
      <c r="S11" s="1062"/>
      <c r="T11" s="256" t="s">
        <v>414</v>
      </c>
      <c r="U11" s="251"/>
      <c r="V11" s="251"/>
      <c r="W11" s="251"/>
      <c r="X11" s="251"/>
      <c r="Y11" s="251"/>
      <c r="Z11" s="251"/>
      <c r="AA11" s="251"/>
      <c r="AB11" s="250"/>
      <c r="AC11" s="251"/>
      <c r="AD11" s="251"/>
      <c r="AE11" s="251"/>
      <c r="AF11" s="251"/>
      <c r="AG11" s="251"/>
      <c r="AH11" s="251"/>
      <c r="AI11" s="250"/>
      <c r="AJ11" s="251"/>
      <c r="AK11" s="178"/>
      <c r="AM11" s="368"/>
      <c r="AN11" s="368" t="str">
        <f t="shared" si="0"/>
        <v>Добавить наименование признака дифференциации</v>
      </c>
      <c r="AO11" s="368"/>
      <c r="AP11" s="368"/>
    </row>
    <row r="12" spans="1:42" s="1686" customFormat="1" ht="14.25" hidden="1" customHeight="1">
      <c r="A12" s="1124"/>
      <c r="B12" s="1124"/>
      <c r="C12" s="1096"/>
      <c r="D12" s="1096"/>
      <c r="E12" s="2112"/>
      <c r="F12" s="2111"/>
      <c r="G12" s="1096"/>
      <c r="H12" s="1096"/>
      <c r="I12" s="1096"/>
      <c r="J12" s="1096"/>
      <c r="K12" s="1096"/>
      <c r="L12" s="1264"/>
      <c r="M12" s="1103"/>
      <c r="N12" s="1103"/>
      <c r="P12" s="1098"/>
      <c r="Q12" s="1099"/>
      <c r="R12" s="1098"/>
      <c r="S12" s="1104"/>
      <c r="T12" s="1107" t="s">
        <v>341</v>
      </c>
      <c r="U12" s="1106"/>
      <c r="V12" s="1106"/>
      <c r="W12" s="1106"/>
      <c r="X12" s="1106"/>
      <c r="Y12" s="1106"/>
      <c r="Z12" s="1106"/>
      <c r="AA12" s="1106"/>
      <c r="AB12" s="1106"/>
      <c r="AC12" s="1106"/>
      <c r="AD12" s="1106"/>
      <c r="AE12" s="1106"/>
      <c r="AF12" s="1106"/>
      <c r="AG12" s="1106"/>
      <c r="AH12" s="1106"/>
      <c r="AI12" s="1106"/>
      <c r="AJ12" s="1106"/>
      <c r="AK12" s="1106"/>
      <c r="AM12" s="598"/>
      <c r="AN12" s="598" t="str">
        <f t="shared" si="0"/>
        <v>Добавить централизованную систему для дифференциации</v>
      </c>
      <c r="AO12" s="598"/>
      <c r="AP12" s="598"/>
    </row>
    <row r="13" spans="1:42" s="1622" customFormat="1" ht="14.25" hidden="1" customHeight="1">
      <c r="A13" s="1124"/>
      <c r="B13" s="1124"/>
      <c r="C13" s="1124"/>
      <c r="D13" s="1124"/>
      <c r="E13" s="2111"/>
      <c r="F13" s="1124"/>
      <c r="G13" s="1124"/>
      <c r="H13" s="1124"/>
      <c r="I13" s="1124"/>
      <c r="J13" s="1124"/>
      <c r="K13" s="1124"/>
      <c r="L13" s="1127"/>
      <c r="M13" s="1103"/>
      <c r="N13" s="1103"/>
      <c r="O13" s="386"/>
      <c r="P13" s="269"/>
      <c r="Q13" s="1125"/>
      <c r="R13" s="269"/>
      <c r="S13" s="1104"/>
      <c r="T13" s="1107" t="s">
        <v>342</v>
      </c>
      <c r="U13" s="1106"/>
      <c r="V13" s="1106"/>
      <c r="W13" s="1106"/>
      <c r="X13" s="1106"/>
      <c r="Y13" s="1106"/>
      <c r="Z13" s="1106"/>
      <c r="AA13" s="1106"/>
      <c r="AB13" s="1106"/>
      <c r="AC13" s="1106"/>
      <c r="AD13" s="1106"/>
      <c r="AE13" s="1106"/>
      <c r="AF13" s="1106"/>
      <c r="AG13" s="1106"/>
      <c r="AH13" s="1106"/>
      <c r="AI13" s="1106"/>
      <c r="AJ13" s="1106"/>
      <c r="AK13" s="1106"/>
      <c r="AM13" s="368"/>
      <c r="AN13" s="368" t="str">
        <f t="shared" si="0"/>
        <v>Добавить территорию для дифференциации</v>
      </c>
      <c r="AO13" s="368"/>
      <c r="AP13" s="368"/>
    </row>
    <row r="14" spans="1:42" ht="14.25" hidden="1" customHeight="1">
      <c r="AB14" s="210"/>
      <c r="AI14" s="210"/>
    </row>
    <row r="15" spans="1:42" ht="14.25" hidden="1" customHeight="1">
      <c r="AC15" s="1140"/>
      <c r="AD15" s="1140"/>
      <c r="AE15" s="1141"/>
      <c r="AF15" s="2108"/>
      <c r="AG15" s="2107" t="s">
        <v>16</v>
      </c>
      <c r="AH15" s="2108"/>
      <c r="AI15" s="2107" t="s">
        <v>16</v>
      </c>
    </row>
    <row r="16" spans="1:42" ht="14.25" hidden="1" customHeight="1">
      <c r="AC16" s="1140"/>
      <c r="AD16" s="1140"/>
      <c r="AE16" s="211" t="str">
        <f>AF15&amp;"-"&amp;AH15</f>
        <v>-</v>
      </c>
      <c r="AF16" s="2107"/>
      <c r="AG16" s="2107"/>
      <c r="AH16" s="2107"/>
      <c r="AI16" s="2107"/>
    </row>
    <row r="17" spans="1:42" ht="14.25" hidden="1" customHeight="1">
      <c r="AI17" s="210"/>
    </row>
    <row r="18" spans="1:42" s="1687" customFormat="1" ht="22.5" hidden="1" customHeight="1">
      <c r="L18" s="1248"/>
      <c r="M18" s="1142"/>
      <c r="N18" s="1142"/>
      <c r="O18" s="1147" t="s">
        <v>343</v>
      </c>
      <c r="P18" s="1142"/>
      <c r="Q18" s="1151"/>
      <c r="R18" s="1151"/>
      <c r="S18" s="556"/>
      <c r="Y18" s="1147"/>
      <c r="AA18" s="1147"/>
      <c r="AB18" s="1146"/>
      <c r="AF18" s="1147"/>
      <c r="AH18" s="1147"/>
      <c r="AI18" s="1146"/>
      <c r="AL18" s="379"/>
      <c r="AM18" s="379"/>
      <c r="AN18" s="379"/>
      <c r="AO18" s="379"/>
      <c r="AP18" s="379"/>
    </row>
    <row r="19" spans="1:42" s="1687" customFormat="1" ht="14.25" hidden="1" customHeight="1">
      <c r="L19" s="1248"/>
      <c r="M19" s="1142"/>
      <c r="N19" s="1142"/>
      <c r="O19" s="1142"/>
      <c r="P19" s="1142"/>
      <c r="Q19" s="1151"/>
      <c r="R19" s="1151"/>
      <c r="S19" s="556"/>
      <c r="AB19" s="1146"/>
      <c r="AI19" s="1146"/>
      <c r="AL19" s="379"/>
      <c r="AM19" s="379"/>
      <c r="AN19" s="379"/>
      <c r="AO19" s="379"/>
      <c r="AP19" s="379"/>
    </row>
    <row r="20" spans="1:42" s="1687" customFormat="1" ht="12" hidden="1" customHeight="1">
      <c r="L20" s="1248"/>
      <c r="M20" s="1142"/>
      <c r="N20" s="1142"/>
      <c r="O20" s="1144" t="s">
        <v>344</v>
      </c>
      <c r="P20" s="1142"/>
      <c r="Q20" s="1216"/>
      <c r="R20" s="1216"/>
      <c r="S20" s="556"/>
      <c r="T20" s="929" t="s">
        <v>345</v>
      </c>
      <c r="Z20" s="86" t="s">
        <v>346</v>
      </c>
      <c r="AB20" s="86" t="s">
        <v>347</v>
      </c>
      <c r="AC20" s="929" t="s">
        <v>345</v>
      </c>
      <c r="AG20" s="86" t="s">
        <v>348</v>
      </c>
      <c r="AI20" s="86" t="s">
        <v>347</v>
      </c>
    </row>
    <row r="21" spans="1:42" ht="14.25" hidden="1" customHeight="1">
      <c r="O21" s="1144"/>
    </row>
    <row r="22" spans="1:42" ht="14.25" hidden="1" customHeight="1">
      <c r="O22" s="1144"/>
    </row>
    <row r="23" spans="1:42" ht="14.25" customHeight="1">
      <c r="Q23" s="261"/>
      <c r="R23" s="261"/>
      <c r="S23" s="1059"/>
      <c r="T23" s="246"/>
      <c r="U23" s="246"/>
      <c r="V23" s="377"/>
      <c r="W23" s="377"/>
      <c r="X23" s="377"/>
      <c r="Y23" s="377"/>
      <c r="Z23" s="377"/>
      <c r="AA23" s="377"/>
      <c r="AB23" s="377"/>
      <c r="AC23" s="377"/>
      <c r="AD23" s="377"/>
      <c r="AE23" s="377"/>
      <c r="AF23" s="377"/>
      <c r="AG23" s="377"/>
      <c r="AH23" s="377"/>
      <c r="AI23" s="377"/>
    </row>
    <row r="24" spans="1:42" ht="14.25" customHeight="1">
      <c r="Q24" s="261"/>
      <c r="R24" s="261"/>
      <c r="S24" s="208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88"/>
      <c r="U24" s="2088"/>
      <c r="V24" s="2088"/>
      <c r="W24" s="2088"/>
      <c r="X24" s="2088"/>
      <c r="Y24" s="2088"/>
      <c r="Z24" s="2088"/>
      <c r="AA24" s="2088"/>
      <c r="AB24" s="2088"/>
      <c r="AC24" s="2088"/>
      <c r="AD24" s="2088"/>
      <c r="AE24" s="2088"/>
      <c r="AF24" s="2088"/>
      <c r="AG24" s="2088"/>
      <c r="AH24" s="2088"/>
      <c r="AI24" s="1019"/>
    </row>
    <row r="25" spans="1:42" ht="14.25" customHeight="1">
      <c r="Q25" s="261"/>
      <c r="R25" s="261"/>
      <c r="S25" s="2059" t="e">
        <f>IF(org=0,"Не определено",org)</f>
        <v>#REF!</v>
      </c>
      <c r="T25" s="2059"/>
      <c r="U25" s="2059"/>
      <c r="V25" s="2059"/>
      <c r="W25" s="2059"/>
      <c r="X25" s="2059"/>
      <c r="Y25" s="2059"/>
      <c r="Z25" s="2059"/>
      <c r="AA25" s="2059"/>
      <c r="AB25" s="2059"/>
      <c r="AC25" s="2059"/>
      <c r="AD25" s="2059"/>
      <c r="AE25" s="2059"/>
      <c r="AF25" s="2059"/>
      <c r="AG25" s="2059"/>
      <c r="AH25" s="2059"/>
      <c r="AI25" s="1019"/>
    </row>
    <row r="26" spans="1:42" ht="14.25" hidden="1" customHeight="1">
      <c r="Q26" s="261"/>
      <c r="R26" s="261"/>
      <c r="S26" s="1059"/>
      <c r="T26" s="246"/>
      <c r="U26" s="246"/>
      <c r="V26" s="203"/>
      <c r="W26" s="203"/>
      <c r="X26" s="203"/>
      <c r="Y26" s="203"/>
      <c r="Z26" s="203"/>
      <c r="AA26" s="203"/>
      <c r="AB26" s="203"/>
      <c r="AC26" s="203"/>
      <c r="AD26" s="203"/>
      <c r="AE26" s="203"/>
      <c r="AF26" s="203"/>
      <c r="AG26" s="203"/>
      <c r="AH26" s="203"/>
      <c r="AI26" s="203"/>
      <c r="AJ26" s="377"/>
    </row>
    <row r="27" spans="1:42" s="1692" customFormat="1" ht="25.5" hidden="1" customHeight="1">
      <c r="A27" s="1148"/>
      <c r="B27" s="1148"/>
      <c r="C27" s="1148"/>
      <c r="D27" s="1148"/>
      <c r="E27" s="1148"/>
      <c r="F27" s="1148"/>
      <c r="G27" s="1148"/>
      <c r="H27" s="1148"/>
      <c r="I27" s="1148"/>
      <c r="J27" s="1148"/>
      <c r="K27" s="1148"/>
      <c r="L27" s="1149"/>
      <c r="M27" s="1148"/>
      <c r="N27" s="1148"/>
      <c r="O27" s="1148"/>
      <c r="S27" s="2101" t="s">
        <v>6</v>
      </c>
      <c r="T27" s="2101"/>
      <c r="U27" s="1152"/>
      <c r="V27" s="2103" t="e">
        <f>IF(TITLE_NAME_OR_PR_CHANGE="",IF(TITLE_NAME_OR_PR="","",TITLE_NAME_OR_PR),TITLE_NAME_OR_PR_CHANGE)</f>
        <v>#REF!</v>
      </c>
      <c r="W27" s="2103"/>
      <c r="X27" s="2103"/>
      <c r="Y27" s="2103"/>
      <c r="Z27" s="2103"/>
      <c r="AA27" s="2103"/>
      <c r="AB27" s="209"/>
      <c r="AC27" s="2103" t="e">
        <f>IF(TITLE_NAME_OR_PR_CHANGE="",IF(TITLE_NAME_OR_PR="","",TITLE_NAME_OR_PR),TITLE_NAME_OR_PR_CHANGE)</f>
        <v>#REF!</v>
      </c>
      <c r="AD27" s="2103"/>
      <c r="AE27" s="2103"/>
      <c r="AF27" s="2103"/>
      <c r="AG27" s="2103"/>
      <c r="AH27" s="2103"/>
      <c r="AI27" s="209"/>
      <c r="AJ27" s="209"/>
      <c r="AK27" s="157"/>
      <c r="AL27" s="252"/>
      <c r="AM27" s="252"/>
      <c r="AN27" s="252"/>
      <c r="AO27" s="252"/>
      <c r="AP27" s="252"/>
    </row>
    <row r="28" spans="1:42" s="1692" customFormat="1" ht="18.75" hidden="1" customHeight="1">
      <c r="A28" s="1148"/>
      <c r="B28" s="1148"/>
      <c r="C28" s="1148"/>
      <c r="D28" s="1148"/>
      <c r="E28" s="1148"/>
      <c r="F28" s="1148"/>
      <c r="G28" s="1148"/>
      <c r="H28" s="1148"/>
      <c r="I28" s="1148"/>
      <c r="J28" s="1148"/>
      <c r="K28" s="1148"/>
      <c r="L28" s="1149"/>
      <c r="M28" s="1148"/>
      <c r="N28" s="1148"/>
      <c r="O28" s="1148"/>
      <c r="S28" s="2101" t="s">
        <v>349</v>
      </c>
      <c r="T28" s="2101"/>
      <c r="U28" s="1152"/>
      <c r="V28" s="2102" t="e">
        <f>IF(TITLE_DATE_PR_CHANGE="",IF(TITLE_DATE_PR="","",TITLE_DATE_PR),TITLE_DATE_PR_CHANGE)</f>
        <v>#REF!</v>
      </c>
      <c r="W28" s="2102"/>
      <c r="X28" s="2102"/>
      <c r="Y28" s="2102"/>
      <c r="Z28" s="2102"/>
      <c r="AA28" s="2102"/>
      <c r="AB28" s="209"/>
      <c r="AC28" s="2102" t="e">
        <f>IF(TITLE_DATE_PR_CHANGE="",IF(TITLE_DATE_PR="","",TITLE_DATE_PR),TITLE_DATE_PR_CHANGE)</f>
        <v>#REF!</v>
      </c>
      <c r="AD28" s="2102"/>
      <c r="AE28" s="2102"/>
      <c r="AF28" s="2102"/>
      <c r="AG28" s="2102"/>
      <c r="AH28" s="2102"/>
      <c r="AI28" s="209"/>
      <c r="AJ28" s="209"/>
      <c r="AK28" s="157"/>
      <c r="AL28" s="252"/>
      <c r="AM28" s="252"/>
      <c r="AN28" s="252"/>
      <c r="AO28" s="252"/>
      <c r="AP28" s="252"/>
    </row>
    <row r="29" spans="1:42" s="1692" customFormat="1" ht="18.75" hidden="1" customHeight="1">
      <c r="A29" s="1148"/>
      <c r="B29" s="1148"/>
      <c r="C29" s="1148"/>
      <c r="D29" s="1148"/>
      <c r="E29" s="1148"/>
      <c r="F29" s="1148"/>
      <c r="G29" s="1148"/>
      <c r="H29" s="1148"/>
      <c r="I29" s="1148"/>
      <c r="J29" s="1148"/>
      <c r="K29" s="1148"/>
      <c r="L29" s="1149"/>
      <c r="M29" s="1148"/>
      <c r="N29" s="1148"/>
      <c r="O29" s="1148"/>
      <c r="S29" s="2101" t="s">
        <v>350</v>
      </c>
      <c r="T29" s="2101"/>
      <c r="U29" s="1152"/>
      <c r="V29" s="2103" t="e">
        <f>IF(TITLE_NUMBER_PR_CHANGE="",IF(TITLE_NUMBER_PR="","",TITLE_NUMBER_PR),TITLE_NUMBER_PR_CHANGE)</f>
        <v>#REF!</v>
      </c>
      <c r="W29" s="2103"/>
      <c r="X29" s="2103"/>
      <c r="Y29" s="2103"/>
      <c r="Z29" s="2103"/>
      <c r="AA29" s="2103"/>
      <c r="AB29" s="209"/>
      <c r="AC29" s="2103" t="e">
        <f>IF(TITLE_NUMBER_PR_CHANGE="",IF(TITLE_NUMBER_PR="","",TITLE_NUMBER_PR),TITLE_NUMBER_PR_CHANGE)</f>
        <v>#REF!</v>
      </c>
      <c r="AD29" s="2103"/>
      <c r="AE29" s="2103"/>
      <c r="AF29" s="2103"/>
      <c r="AG29" s="2103"/>
      <c r="AH29" s="2103"/>
      <c r="AI29" s="209"/>
      <c r="AJ29" s="209"/>
      <c r="AK29" s="157"/>
      <c r="AL29" s="252"/>
      <c r="AM29" s="252"/>
      <c r="AN29" s="252"/>
      <c r="AO29" s="252"/>
      <c r="AP29" s="252"/>
    </row>
    <row r="30" spans="1:42" s="1692" customFormat="1" ht="18.75" hidden="1" customHeight="1">
      <c r="A30" s="1148"/>
      <c r="B30" s="1148"/>
      <c r="C30" s="1148"/>
      <c r="D30" s="1148"/>
      <c r="E30" s="1148"/>
      <c r="F30" s="1148"/>
      <c r="G30" s="1148"/>
      <c r="H30" s="1148"/>
      <c r="I30" s="1148"/>
      <c r="J30" s="1148"/>
      <c r="K30" s="1148"/>
      <c r="L30" s="1149"/>
      <c r="M30" s="1148"/>
      <c r="N30" s="1148"/>
      <c r="O30" s="1148"/>
      <c r="S30" s="2101" t="s">
        <v>7</v>
      </c>
      <c r="T30" s="2101"/>
      <c r="U30" s="1152"/>
      <c r="V30" s="2103" t="e">
        <f>IF(TITLE_IST_PUB_CHANGE="",IF(TITLE_IST_PUB="","",TITLE_IST_PUB),TITLE_IST_PUB_CHANGE)</f>
        <v>#REF!</v>
      </c>
      <c r="W30" s="2103"/>
      <c r="X30" s="2103"/>
      <c r="Y30" s="2103"/>
      <c r="Z30" s="2103"/>
      <c r="AA30" s="2103"/>
      <c r="AB30" s="209"/>
      <c r="AC30" s="2103" t="e">
        <f>IF(TITLE_IST_PUB_CHANGE="",IF(TITLE_IST_PUB="","",TITLE_IST_PUB),TITLE_IST_PUB_CHANGE)</f>
        <v>#REF!</v>
      </c>
      <c r="AD30" s="2103"/>
      <c r="AE30" s="2103"/>
      <c r="AF30" s="2103"/>
      <c r="AG30" s="2103"/>
      <c r="AH30" s="2103"/>
      <c r="AI30" s="209"/>
      <c r="AJ30" s="209"/>
      <c r="AK30" s="157"/>
      <c r="AL30" s="252"/>
      <c r="AM30" s="252"/>
      <c r="AN30" s="252"/>
      <c r="AO30" s="252"/>
      <c r="AP30" s="252"/>
    </row>
    <row r="31" spans="1:42" ht="14.25" hidden="1" customHeight="1">
      <c r="Q31" s="261"/>
      <c r="R31" s="261"/>
      <c r="S31" s="1059"/>
      <c r="T31" s="246"/>
      <c r="U31" s="246"/>
      <c r="V31" s="203"/>
      <c r="W31" s="203"/>
      <c r="X31" s="203"/>
      <c r="Y31" s="203"/>
      <c r="Z31" s="203"/>
      <c r="AA31" s="203"/>
      <c r="AB31" s="203"/>
      <c r="AC31" s="203"/>
      <c r="AD31" s="203"/>
      <c r="AE31" s="203"/>
      <c r="AF31" s="203"/>
      <c r="AG31" s="203"/>
      <c r="AH31" s="203"/>
      <c r="AI31" s="203"/>
      <c r="AJ31" s="377"/>
    </row>
    <row r="32" spans="1:42" s="1692" customFormat="1" ht="18.75" hidden="1" customHeight="1">
      <c r="A32" s="1148"/>
      <c r="B32" s="1148"/>
      <c r="C32" s="1148"/>
      <c r="D32" s="1148"/>
      <c r="E32" s="1148"/>
      <c r="F32" s="1148"/>
      <c r="G32" s="1148"/>
      <c r="H32" s="1148"/>
      <c r="I32" s="1148"/>
      <c r="J32" s="1148"/>
      <c r="K32" s="1148"/>
      <c r="L32" s="1149"/>
      <c r="M32" s="1148"/>
      <c r="N32" s="1148"/>
      <c r="O32" s="1148"/>
      <c r="S32" s="2101" t="s">
        <v>351</v>
      </c>
      <c r="T32" s="2101"/>
      <c r="U32" s="1152"/>
      <c r="V32" s="2102" t="e">
        <f>IF(TITLE_DATE_PR_CHANGE="",IF(TITLE_DATE_PR="","",TITLE_DATE_PR),TITLE_DATE_PR_CHANGE)</f>
        <v>#REF!</v>
      </c>
      <c r="W32" s="2102"/>
      <c r="X32" s="2102"/>
      <c r="Y32" s="2102"/>
      <c r="Z32" s="2102"/>
      <c r="AA32" s="2102"/>
      <c r="AB32" s="209"/>
      <c r="AC32" s="2102" t="e">
        <f>IF(TITLE_DATE_PR_CHANGE="",IF(TITLE_DATE_PR="","",TITLE_DATE_PR),TITLE_DATE_PR_CHANGE)</f>
        <v>#REF!</v>
      </c>
      <c r="AD32" s="2102"/>
      <c r="AE32" s="2102"/>
      <c r="AF32" s="2102"/>
      <c r="AG32" s="2102"/>
      <c r="AH32" s="2102"/>
      <c r="AI32" s="209"/>
      <c r="AJ32" s="209"/>
      <c r="AK32" s="157"/>
      <c r="AL32" s="252"/>
      <c r="AM32" s="252"/>
      <c r="AN32" s="252"/>
      <c r="AO32" s="252"/>
      <c r="AP32" s="252"/>
    </row>
    <row r="33" spans="1:42" s="1692" customFormat="1" ht="18.75" hidden="1" customHeight="1">
      <c r="A33" s="1148"/>
      <c r="B33" s="1148"/>
      <c r="C33" s="1148"/>
      <c r="D33" s="1148"/>
      <c r="E33" s="1148"/>
      <c r="F33" s="1148"/>
      <c r="G33" s="1148"/>
      <c r="H33" s="1148"/>
      <c r="I33" s="1148"/>
      <c r="J33" s="1148"/>
      <c r="K33" s="1148"/>
      <c r="L33" s="1149"/>
      <c r="M33" s="1148"/>
      <c r="N33" s="1148"/>
      <c r="O33" s="1148"/>
      <c r="S33" s="2101" t="s">
        <v>352</v>
      </c>
      <c r="T33" s="2101"/>
      <c r="U33" s="1152"/>
      <c r="V33" s="2103" t="e">
        <f>IF(TITLE_NUMBER_PR_CHANGE="",IF(TITLE_NUMBER_PR="","",TITLE_NUMBER_PR),TITLE_NUMBER_PR_CHANGE)</f>
        <v>#REF!</v>
      </c>
      <c r="W33" s="2103"/>
      <c r="X33" s="2103"/>
      <c r="Y33" s="2103"/>
      <c r="Z33" s="2103"/>
      <c r="AA33" s="2103"/>
      <c r="AB33" s="209"/>
      <c r="AC33" s="2103" t="e">
        <f>IF(TITLE_NUMBER_PR_CHANGE="",IF(TITLE_NUMBER_PR="","",TITLE_NUMBER_PR),TITLE_NUMBER_PR_CHANGE)</f>
        <v>#REF!</v>
      </c>
      <c r="AD33" s="2103"/>
      <c r="AE33" s="2103"/>
      <c r="AF33" s="2103"/>
      <c r="AG33" s="2103"/>
      <c r="AH33" s="2103"/>
      <c r="AI33" s="209"/>
      <c r="AJ33" s="209"/>
      <c r="AK33" s="157"/>
      <c r="AL33" s="252"/>
      <c r="AM33" s="252"/>
      <c r="AN33" s="252"/>
      <c r="AO33" s="252"/>
      <c r="AP33" s="252"/>
    </row>
    <row r="34" spans="1:42" s="1692" customFormat="1" ht="0.75" customHeight="1">
      <c r="A34" s="1148"/>
      <c r="B34" s="1148"/>
      <c r="C34" s="1148"/>
      <c r="D34" s="1148"/>
      <c r="E34" s="1148"/>
      <c r="F34" s="1148"/>
      <c r="G34" s="1148"/>
      <c r="H34" s="1148"/>
      <c r="I34" s="1148"/>
      <c r="J34" s="1148"/>
      <c r="K34" s="1148"/>
      <c r="L34" s="1149"/>
      <c r="M34" s="1148"/>
      <c r="N34" s="1148"/>
      <c r="O34" s="1148"/>
      <c r="S34" s="205"/>
      <c r="T34" s="205"/>
      <c r="U34" s="1258"/>
      <c r="V34" s="209"/>
      <c r="W34" s="209"/>
      <c r="X34" s="209"/>
      <c r="Y34" s="209"/>
      <c r="Z34" s="209"/>
      <c r="AA34" s="209"/>
      <c r="AB34" s="155" t="s">
        <v>353</v>
      </c>
      <c r="AC34" s="209"/>
      <c r="AD34" s="209"/>
      <c r="AE34" s="209"/>
      <c r="AF34" s="209"/>
      <c r="AG34" s="209"/>
      <c r="AH34" s="209"/>
      <c r="AI34" s="155" t="s">
        <v>353</v>
      </c>
      <c r="AL34" s="252"/>
      <c r="AM34" s="252"/>
      <c r="AN34" s="252"/>
      <c r="AO34" s="252"/>
      <c r="AP34" s="252"/>
    </row>
    <row r="35" spans="1:42" ht="14.25" customHeight="1">
      <c r="Q35" s="261"/>
      <c r="R35" s="261"/>
      <c r="S35" s="1059"/>
      <c r="T35" s="246"/>
      <c r="U35" s="1020"/>
      <c r="V35" s="2123"/>
      <c r="W35" s="2123"/>
      <c r="X35" s="2123"/>
      <c r="Y35" s="2123"/>
      <c r="Z35" s="2123"/>
      <c r="AA35" s="2123"/>
      <c r="AB35" s="2123"/>
      <c r="AC35" s="2123"/>
      <c r="AD35" s="2123"/>
      <c r="AE35" s="2123"/>
      <c r="AF35" s="2123"/>
      <c r="AG35" s="2123"/>
      <c r="AH35" s="2123"/>
      <c r="AI35" s="2123"/>
    </row>
    <row r="36" spans="1:42" ht="14.25" customHeight="1">
      <c r="Q36" s="261"/>
      <c r="R36" s="261"/>
      <c r="S36" s="2025" t="s">
        <v>224</v>
      </c>
      <c r="T36" s="2025"/>
      <c r="U36" s="2025"/>
      <c r="V36" s="2025"/>
      <c r="W36" s="2025"/>
      <c r="X36" s="2025"/>
      <c r="Y36" s="2025"/>
      <c r="Z36" s="2025"/>
      <c r="AA36" s="2025"/>
      <c r="AB36" s="2025"/>
      <c r="AC36" s="2025"/>
      <c r="AD36" s="2025"/>
      <c r="AE36" s="2025"/>
      <c r="AF36" s="2025"/>
      <c r="AG36" s="2025"/>
      <c r="AH36" s="2025"/>
      <c r="AI36" s="2025"/>
      <c r="AJ36" s="2025"/>
      <c r="AK36" s="2025" t="s">
        <v>225</v>
      </c>
    </row>
    <row r="37" spans="1:42" ht="14.25" customHeight="1">
      <c r="Q37" s="261"/>
      <c r="R37" s="261"/>
      <c r="S37" s="2124" t="s">
        <v>22</v>
      </c>
      <c r="T37" s="2068" t="s">
        <v>354</v>
      </c>
      <c r="U37" s="176"/>
      <c r="V37" s="2125" t="s">
        <v>355</v>
      </c>
      <c r="W37" s="2126"/>
      <c r="X37" s="2126"/>
      <c r="Y37" s="2126"/>
      <c r="Z37" s="2126"/>
      <c r="AA37" s="2127"/>
      <c r="AB37" s="2128" t="s">
        <v>356</v>
      </c>
      <c r="AC37" s="2125" t="s">
        <v>355</v>
      </c>
      <c r="AD37" s="2126"/>
      <c r="AE37" s="2126"/>
      <c r="AF37" s="2126"/>
      <c r="AG37" s="2126"/>
      <c r="AH37" s="2127"/>
      <c r="AI37" s="2128" t="s">
        <v>357</v>
      </c>
      <c r="AJ37" s="2131" t="s">
        <v>358</v>
      </c>
      <c r="AK37" s="2025"/>
    </row>
    <row r="38" spans="1:42" ht="33.75" customHeight="1">
      <c r="Q38" s="261"/>
      <c r="R38" s="261"/>
      <c r="S38" s="2124"/>
      <c r="T38" s="2068"/>
      <c r="U38" s="814"/>
      <c r="V38" s="1253" t="s">
        <v>415</v>
      </c>
      <c r="W38" s="1956" t="s">
        <v>361</v>
      </c>
      <c r="X38" s="1958"/>
      <c r="Y38" s="1956" t="s">
        <v>362</v>
      </c>
      <c r="Z38" s="1957"/>
      <c r="AA38" s="1958"/>
      <c r="AB38" s="2129"/>
      <c r="AC38" s="1253" t="s">
        <v>415</v>
      </c>
      <c r="AD38" s="1956" t="s">
        <v>361</v>
      </c>
      <c r="AE38" s="1958"/>
      <c r="AF38" s="1956" t="s">
        <v>362</v>
      </c>
      <c r="AG38" s="1957"/>
      <c r="AH38" s="1958"/>
      <c r="AI38" s="2129"/>
      <c r="AJ38" s="2132"/>
      <c r="AK38" s="2025"/>
    </row>
    <row r="39" spans="1:42" ht="86.25" customHeight="1">
      <c r="A39" s="1150"/>
      <c r="B39" s="1150" t="s">
        <v>73</v>
      </c>
      <c r="C39" s="1150" t="s">
        <v>74</v>
      </c>
      <c r="D39" s="1150" t="s">
        <v>75</v>
      </c>
      <c r="E39" s="1144" t="s">
        <v>363</v>
      </c>
      <c r="F39" s="1144" t="s">
        <v>364</v>
      </c>
      <c r="G39" s="1144" t="s">
        <v>365</v>
      </c>
      <c r="H39" s="1144"/>
      <c r="I39" s="1144" t="s">
        <v>416</v>
      </c>
      <c r="J39" s="1144" t="s">
        <v>368</v>
      </c>
      <c r="K39" s="1144" t="s">
        <v>417</v>
      </c>
      <c r="L39" s="1144" t="s">
        <v>344</v>
      </c>
      <c r="Q39" s="261"/>
      <c r="R39" s="261"/>
      <c r="S39" s="2124"/>
      <c r="T39" s="2068"/>
      <c r="U39" s="177"/>
      <c r="V39" s="1253" t="s">
        <v>442</v>
      </c>
      <c r="W39" s="995" t="s">
        <v>443</v>
      </c>
      <c r="X39" s="995" t="s">
        <v>420</v>
      </c>
      <c r="Y39" s="1259" t="s">
        <v>372</v>
      </c>
      <c r="Z39" s="2073" t="s">
        <v>373</v>
      </c>
      <c r="AA39" s="2087"/>
      <c r="AB39" s="2130"/>
      <c r="AC39" s="1253" t="s">
        <v>442</v>
      </c>
      <c r="AD39" s="995" t="s">
        <v>443</v>
      </c>
      <c r="AE39" s="995" t="s">
        <v>420</v>
      </c>
      <c r="AF39" s="1259" t="s">
        <v>372</v>
      </c>
      <c r="AG39" s="2073" t="s">
        <v>373</v>
      </c>
      <c r="AH39" s="2087"/>
      <c r="AI39" s="2130"/>
      <c r="AJ39" s="2133"/>
      <c r="AK39" s="2025"/>
    </row>
    <row r="40" spans="1:42" s="1621" customFormat="1" ht="0" hidden="1" customHeight="1">
      <c r="A40" s="1150"/>
      <c r="B40" s="1150"/>
      <c r="C40" s="1150"/>
      <c r="D40" s="1150"/>
      <c r="E40" s="1150"/>
      <c r="F40" s="1150"/>
      <c r="G40" s="1150"/>
      <c r="H40" s="1150"/>
      <c r="I40" s="1150"/>
      <c r="J40" s="1150"/>
      <c r="K40" s="1150"/>
      <c r="L40" s="1144"/>
      <c r="M40" s="1142"/>
      <c r="N40" s="1142"/>
      <c r="O40" s="1142"/>
      <c r="P40" s="1022"/>
      <c r="Q40" s="1023"/>
      <c r="R40" s="1038">
        <v>1</v>
      </c>
      <c r="S40" s="1061" t="s">
        <v>43</v>
      </c>
      <c r="T40" s="1039" t="s">
        <v>44</v>
      </c>
      <c r="U40" s="1021" t="str">
        <f ca="1">OFFSET(U40,0,-1)</f>
        <v>2</v>
      </c>
      <c r="V40" s="1252">
        <f ca="1">OFFSET(V40,0,-1)+1</f>
        <v>3</v>
      </c>
      <c r="W40" s="1252">
        <f ca="1">OFFSET(W40,0,-1)+1</f>
        <v>4</v>
      </c>
      <c r="X40" s="1252">
        <f ca="1">OFFSET(X40,0,-1)+1</f>
        <v>5</v>
      </c>
      <c r="Y40" s="1252">
        <f ca="1">OFFSET(Y40,0,-1)+1</f>
        <v>6</v>
      </c>
      <c r="Z40" s="2122">
        <f ca="1">OFFSET(Z40,0,-1)+1</f>
        <v>7</v>
      </c>
      <c r="AA40" s="2122"/>
      <c r="AB40" s="1252">
        <f ca="1">OFFSET(AB40,0,-2)+1</f>
        <v>8</v>
      </c>
      <c r="AC40" s="1252">
        <f ca="1">OFFSET(AC40,0,-1)+1</f>
        <v>9</v>
      </c>
      <c r="AD40" s="1252">
        <f ca="1">OFFSET(AD40,0,-1)+1</f>
        <v>10</v>
      </c>
      <c r="AE40" s="1252">
        <f ca="1">OFFSET(AE40,0,-1)+1</f>
        <v>11</v>
      </c>
      <c r="AF40" s="1252">
        <f ca="1">OFFSET(AF40,0,-1)+1</f>
        <v>12</v>
      </c>
      <c r="AG40" s="2122">
        <f ca="1">OFFSET(AG40,0,-1)+1</f>
        <v>13</v>
      </c>
      <c r="AH40" s="2122"/>
      <c r="AI40" s="1252">
        <f ca="1">OFFSET(AI40,0,-2)+1</f>
        <v>14</v>
      </c>
      <c r="AJ40" s="1021">
        <f ca="1">OFFSET(AJ40,0,-1)</f>
        <v>14</v>
      </c>
      <c r="AK40" s="1252">
        <f ca="1">OFFSET(AK40,0,-1)+1</f>
        <v>15</v>
      </c>
      <c r="AL40" s="379"/>
      <c r="AM40" s="379"/>
      <c r="AN40" s="379"/>
      <c r="AO40" s="379"/>
      <c r="AP40" s="379"/>
    </row>
    <row r="41" spans="1:42" ht="23.25" customHeight="1">
      <c r="A41" s="1143" t="s">
        <v>195</v>
      </c>
      <c r="B41" s="1143"/>
      <c r="C41" s="1143"/>
      <c r="D41" s="1143"/>
      <c r="E41" s="2111">
        <v>1</v>
      </c>
      <c r="F41" s="1143"/>
      <c r="G41" s="1143"/>
      <c r="H41" s="1143"/>
      <c r="I41" s="1143"/>
      <c r="J41" s="1143"/>
      <c r="K41" s="1143"/>
      <c r="L41" s="1144"/>
      <c r="M41" s="1145"/>
      <c r="N41" s="1145"/>
      <c r="O41" s="1145"/>
      <c r="P41" s="242"/>
      <c r="Q41" s="241"/>
      <c r="R41" s="236"/>
      <c r="S41" s="1263">
        <f>INDEX(PT_DIFFERENTIATION_NUM_NTAR,MATCH(A41,PT_DIFFERENTIATION_NTAR_ID,0))</f>
        <v>0</v>
      </c>
      <c r="T41" s="173" t="s">
        <v>61</v>
      </c>
      <c r="U41" s="175"/>
      <c r="V41" s="2104"/>
      <c r="W41" s="2105"/>
      <c r="X41" s="2105"/>
      <c r="Y41" s="2105"/>
      <c r="Z41" s="2105"/>
      <c r="AA41" s="2105"/>
      <c r="AB41" s="2106"/>
      <c r="AC41" s="2104" t="str">
        <f>INDEX(PT_DIFFERENTIATION_NTAR,MATCH(A41,PT_DIFFERENTIATION_NTAR_ID,0))</f>
        <v/>
      </c>
      <c r="AD41" s="2105"/>
      <c r="AE41" s="2105"/>
      <c r="AF41" s="2105"/>
      <c r="AG41" s="2105"/>
      <c r="AH41" s="2105"/>
      <c r="AI41" s="2105"/>
      <c r="AJ41" s="2106"/>
      <c r="AK41"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68"/>
      <c r="AN41" s="368" t="str">
        <f t="shared" ref="AN41:AN53" si="1">IF(T41="","",T41)</f>
        <v>Наименование тарифа</v>
      </c>
      <c r="AO41" s="368"/>
      <c r="AP41" s="368"/>
    </row>
    <row r="42" spans="1:42" ht="23.25" customHeight="1">
      <c r="A42" s="1143" t="s">
        <v>195</v>
      </c>
      <c r="B42" s="1143" t="s">
        <v>196</v>
      </c>
      <c r="C42" s="1143"/>
      <c r="D42" s="1143"/>
      <c r="E42" s="2112"/>
      <c r="F42" s="2111">
        <v>1</v>
      </c>
      <c r="G42" s="1143"/>
      <c r="H42" s="1143"/>
      <c r="I42" s="1143"/>
      <c r="J42" s="1143"/>
      <c r="K42" s="1143"/>
      <c r="L42" s="1144"/>
      <c r="M42" s="1145"/>
      <c r="N42" s="1145"/>
      <c r="O42" s="1145"/>
      <c r="P42" s="1257"/>
      <c r="Q42" s="233"/>
      <c r="R42" s="234"/>
      <c r="S42" s="1263" t="str">
        <f>INDEX(PT_DIFFERENTIATION_NUM_TER,MATCH(B42,PT_DIFFERENTIATION_TER_ID,0))</f>
        <v>.</v>
      </c>
      <c r="T42" s="185" t="s">
        <v>323</v>
      </c>
      <c r="U42" s="175"/>
      <c r="V42" s="2104"/>
      <c r="W42" s="2105"/>
      <c r="X42" s="2105"/>
      <c r="Y42" s="2105"/>
      <c r="Z42" s="2105"/>
      <c r="AA42" s="2105"/>
      <c r="AB42" s="2106"/>
      <c r="AC42" s="2104" t="str">
        <f>INDEX(PT_DIFFERENTIATION_TER,MATCH(B42,PT_DIFFERENTIATION_TER_ID,0))</f>
        <v/>
      </c>
      <c r="AD42" s="2105"/>
      <c r="AE42" s="2105"/>
      <c r="AF42" s="2105"/>
      <c r="AG42" s="2105"/>
      <c r="AH42" s="2105"/>
      <c r="AI42" s="2105"/>
      <c r="AJ42" s="2106"/>
      <c r="AK42" s="1044" t="s">
        <v>324</v>
      </c>
      <c r="AM42" s="368"/>
      <c r="AN42" s="368" t="str">
        <f t="shared" si="1"/>
        <v>Территория действия тарифа</v>
      </c>
      <c r="AO42" s="368"/>
      <c r="AP42" s="368"/>
    </row>
    <row r="43" spans="1:42" ht="23.25" customHeight="1">
      <c r="A43" s="1143" t="s">
        <v>195</v>
      </c>
      <c r="B43" s="1143" t="s">
        <v>196</v>
      </c>
      <c r="C43" s="1143" t="s">
        <v>197</v>
      </c>
      <c r="D43" s="1143"/>
      <c r="E43" s="2112"/>
      <c r="F43" s="2112"/>
      <c r="G43" s="2111">
        <v>1</v>
      </c>
      <c r="H43" s="1143"/>
      <c r="I43" s="1143"/>
      <c r="J43" s="1143"/>
      <c r="K43" s="1143"/>
      <c r="L43" s="1144"/>
      <c r="M43" s="1145"/>
      <c r="N43" s="1145"/>
      <c r="O43" s="1145"/>
      <c r="P43" s="235"/>
      <c r="Q43" s="233"/>
      <c r="R43" s="234"/>
      <c r="S43" s="1263" t="str">
        <f>INDEX(PT_DIFFERENTIATION_NUM_CS,MATCH(C43,PT_DIFFERENTIATION_CS_ID,0))</f>
        <v>..</v>
      </c>
      <c r="T43" s="186" t="s">
        <v>440</v>
      </c>
      <c r="U43" s="175"/>
      <c r="V43" s="2104"/>
      <c r="W43" s="2105"/>
      <c r="X43" s="2105"/>
      <c r="Y43" s="2105"/>
      <c r="Z43" s="2105"/>
      <c r="AA43" s="2105"/>
      <c r="AB43" s="2106"/>
      <c r="AC43" s="2104" t="str">
        <f>INDEX(PT_DIFFERENTIATION_CS,MATCH(C43,PT_DIFFERENTIATION_CS_ID,0))</f>
        <v/>
      </c>
      <c r="AD43" s="2105"/>
      <c r="AE43" s="2105"/>
      <c r="AF43" s="2105"/>
      <c r="AG43" s="2105"/>
      <c r="AH43" s="2105"/>
      <c r="AI43" s="2105"/>
      <c r="AJ43" s="2106"/>
      <c r="AK43" s="1044" t="s">
        <v>441</v>
      </c>
      <c r="AM43" s="368"/>
      <c r="AN43" s="368" t="str">
        <f t="shared" si="1"/>
        <v>Наименование централизованной системы водоотведения</v>
      </c>
      <c r="AO43" s="368"/>
      <c r="AP43" s="368"/>
    </row>
    <row r="44" spans="1:42" ht="23.25" customHeight="1">
      <c r="A44" s="1143" t="s">
        <v>195</v>
      </c>
      <c r="B44" s="1143" t="s">
        <v>196</v>
      </c>
      <c r="C44" s="1143" t="s">
        <v>197</v>
      </c>
      <c r="D44" s="1143" t="s">
        <v>445</v>
      </c>
      <c r="E44" s="2112"/>
      <c r="F44" s="2112"/>
      <c r="G44" s="2112"/>
      <c r="H44" s="2112"/>
      <c r="I44" s="2113" t="str">
        <f>S43&amp;".1"</f>
        <v>...1</v>
      </c>
      <c r="J44" s="1143"/>
      <c r="K44" s="1143"/>
      <c r="L44" s="1144"/>
      <c r="P44" s="2115">
        <v>1</v>
      </c>
      <c r="Q44" s="1251"/>
      <c r="R44" s="237"/>
      <c r="S44" s="1263" t="str">
        <f>$I44</f>
        <v>...1</v>
      </c>
      <c r="T44" s="161" t="s">
        <v>409</v>
      </c>
      <c r="U44" s="175"/>
      <c r="V44" s="2171"/>
      <c r="W44" s="2172"/>
      <c r="X44" s="2172"/>
      <c r="Y44" s="2172"/>
      <c r="Z44" s="2172"/>
      <c r="AA44" s="2172"/>
      <c r="AB44" s="2173"/>
      <c r="AC44" s="2174"/>
      <c r="AD44" s="2175"/>
      <c r="AE44" s="2175"/>
      <c r="AF44" s="2175"/>
      <c r="AG44" s="2175"/>
      <c r="AH44" s="2175"/>
      <c r="AI44" s="2175"/>
      <c r="AJ44" s="2176"/>
      <c r="AK44" s="1044" t="s">
        <v>410</v>
      </c>
      <c r="AM44" s="368"/>
      <c r="AN44" s="368" t="str">
        <f t="shared" si="1"/>
        <v>Наименование признака дифференциации</v>
      </c>
      <c r="AO44" s="368"/>
      <c r="AP44" s="368"/>
    </row>
    <row r="45" spans="1:42" ht="23.25" customHeight="1">
      <c r="A45" s="1143" t="s">
        <v>195</v>
      </c>
      <c r="B45" s="1143" t="s">
        <v>196</v>
      </c>
      <c r="C45" s="1143" t="s">
        <v>197</v>
      </c>
      <c r="D45" s="1143" t="s">
        <v>445</v>
      </c>
      <c r="E45" s="2112"/>
      <c r="F45" s="2112"/>
      <c r="G45" s="2112"/>
      <c r="H45" s="2112"/>
      <c r="I45" s="2114"/>
      <c r="J45" s="2113" t="str">
        <f>I44&amp;".1"</f>
        <v>...1.1</v>
      </c>
      <c r="K45" s="1143"/>
      <c r="L45" s="1144" t="s">
        <v>332</v>
      </c>
      <c r="P45" s="2115"/>
      <c r="Q45" s="2115">
        <v>1</v>
      </c>
      <c r="R45" s="238"/>
      <c r="S45" s="1263" t="str">
        <f>$J45</f>
        <v>...1.1</v>
      </c>
      <c r="T45" s="162" t="s">
        <v>333</v>
      </c>
      <c r="U45" s="175"/>
      <c r="V45" s="2098"/>
      <c r="W45" s="2099"/>
      <c r="X45" s="2099"/>
      <c r="Y45" s="2099"/>
      <c r="Z45" s="2099"/>
      <c r="AA45" s="2099"/>
      <c r="AB45" s="2100"/>
      <c r="AC45" s="2098"/>
      <c r="AD45" s="2099"/>
      <c r="AE45" s="2099"/>
      <c r="AF45" s="2099"/>
      <c r="AG45" s="2099"/>
      <c r="AH45" s="2099"/>
      <c r="AI45" s="2099"/>
      <c r="AJ45" s="2100"/>
      <c r="AK45" s="1090" t="s">
        <v>411</v>
      </c>
      <c r="AM45" s="368"/>
      <c r="AN45" s="368" t="str">
        <f t="shared" si="1"/>
        <v>Группа потребителей</v>
      </c>
      <c r="AO45" s="368"/>
      <c r="AP45" s="368"/>
    </row>
    <row r="46" spans="1:42" ht="23.25" customHeight="1">
      <c r="A46" s="1143" t="s">
        <v>195</v>
      </c>
      <c r="B46" s="1143" t="s">
        <v>196</v>
      </c>
      <c r="C46" s="1143" t="s">
        <v>197</v>
      </c>
      <c r="D46" s="1143" t="s">
        <v>445</v>
      </c>
      <c r="E46" s="2112"/>
      <c r="F46" s="2112"/>
      <c r="G46" s="2112"/>
      <c r="H46" s="2112"/>
      <c r="I46" s="2114"/>
      <c r="J46" s="2114"/>
      <c r="K46" s="2113" t="str">
        <f>J45&amp;".1"</f>
        <v>...1.1.1</v>
      </c>
      <c r="L46" s="1144"/>
      <c r="P46" s="2115"/>
      <c r="Q46" s="2115"/>
      <c r="R46" s="238">
        <v>1</v>
      </c>
      <c r="S46" s="1263" t="str">
        <f>$K46</f>
        <v>...1.1.1</v>
      </c>
      <c r="T46" s="1212"/>
      <c r="U46" s="175"/>
      <c r="V46" s="1140"/>
      <c r="W46" s="1140"/>
      <c r="X46" s="1141"/>
      <c r="Y46" s="2108"/>
      <c r="Z46" s="2107" t="s">
        <v>16</v>
      </c>
      <c r="AA46" s="2108"/>
      <c r="AB46" s="2107" t="s">
        <v>16</v>
      </c>
      <c r="AC46" s="576"/>
      <c r="AD46" s="576"/>
      <c r="AE46" s="1043"/>
      <c r="AF46" s="2116"/>
      <c r="AG46" s="2109" t="s">
        <v>16</v>
      </c>
      <c r="AH46" s="2118"/>
      <c r="AI46" s="2109" t="s">
        <v>15</v>
      </c>
      <c r="AJ46" s="1213"/>
      <c r="AK46"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79" t="e">
        <f ca="1">STRCHECKDATE(V47:AJ47)</f>
        <v>#NAME?</v>
      </c>
      <c r="AM46" s="368"/>
      <c r="AN46" s="368" t="str">
        <f t="shared" si="1"/>
        <v/>
      </c>
      <c r="AO46" s="368"/>
      <c r="AP46" s="368"/>
    </row>
    <row r="47" spans="1:42" ht="0" hidden="1" customHeight="1">
      <c r="A47" s="1143" t="s">
        <v>195</v>
      </c>
      <c r="B47" s="1143" t="s">
        <v>196</v>
      </c>
      <c r="C47" s="1143" t="s">
        <v>197</v>
      </c>
      <c r="D47" s="1143" t="s">
        <v>445</v>
      </c>
      <c r="E47" s="2112"/>
      <c r="F47" s="2112"/>
      <c r="G47" s="2112"/>
      <c r="H47" s="2112"/>
      <c r="I47" s="2114"/>
      <c r="J47" s="2114"/>
      <c r="K47" s="2113"/>
      <c r="L47" s="1144"/>
      <c r="P47" s="2115"/>
      <c r="Q47" s="2115"/>
      <c r="R47" s="238"/>
      <c r="S47" s="1260"/>
      <c r="T47" s="175"/>
      <c r="U47" s="175"/>
      <c r="V47" s="1140"/>
      <c r="W47" s="1140"/>
      <c r="X47" s="211" t="str">
        <f>Y46&amp;"-"&amp;AA46</f>
        <v>-</v>
      </c>
      <c r="Y47" s="2107"/>
      <c r="Z47" s="2107"/>
      <c r="AA47" s="2107"/>
      <c r="AB47" s="2107"/>
      <c r="AC47" s="207"/>
      <c r="AD47" s="207"/>
      <c r="AE47" s="211" t="str">
        <f>AF46&amp;"-"&amp;AH46</f>
        <v>-</v>
      </c>
      <c r="AF47" s="2117"/>
      <c r="AG47" s="2109"/>
      <c r="AH47" s="2119"/>
      <c r="AI47" s="2109"/>
      <c r="AJ47" s="1214"/>
      <c r="AK47" s="2177"/>
      <c r="AM47" s="368"/>
      <c r="AN47" s="368" t="str">
        <f t="shared" si="1"/>
        <v/>
      </c>
      <c r="AO47" s="368"/>
      <c r="AP47" s="368"/>
    </row>
    <row r="48" spans="1:42" ht="21" customHeight="1">
      <c r="A48" s="1143" t="s">
        <v>195</v>
      </c>
      <c r="B48" s="1143" t="s">
        <v>196</v>
      </c>
      <c r="C48" s="1143" t="s">
        <v>197</v>
      </c>
      <c r="D48" s="1143" t="s">
        <v>445</v>
      </c>
      <c r="E48" s="2112"/>
      <c r="F48" s="2112"/>
      <c r="G48" s="2112"/>
      <c r="H48" s="2112"/>
      <c r="I48" s="2114"/>
      <c r="J48" s="2113"/>
      <c r="K48" s="1143"/>
      <c r="L48" s="1144"/>
      <c r="P48" s="2115"/>
      <c r="Q48" s="2115"/>
      <c r="R48" s="237"/>
      <c r="S48" s="1062"/>
      <c r="T48" s="163" t="s">
        <v>412</v>
      </c>
      <c r="U48" s="251"/>
      <c r="V48" s="251"/>
      <c r="W48" s="251"/>
      <c r="X48" s="251"/>
      <c r="Y48" s="251"/>
      <c r="Z48" s="251"/>
      <c r="AA48" s="251"/>
      <c r="AB48" s="251"/>
      <c r="AC48" s="251"/>
      <c r="AD48" s="251"/>
      <c r="AE48" s="251"/>
      <c r="AF48" s="251"/>
      <c r="AG48" s="251"/>
      <c r="AH48" s="251"/>
      <c r="AI48" s="251"/>
      <c r="AJ48" s="251"/>
      <c r="AK48" s="1044" t="s">
        <v>413</v>
      </c>
      <c r="AM48" s="368"/>
      <c r="AN48" s="368" t="str">
        <f t="shared" si="1"/>
        <v>Добавить значение признака дифференциации</v>
      </c>
      <c r="AO48" s="368"/>
      <c r="AP48" s="368"/>
    </row>
    <row r="49" spans="1:42" ht="21" customHeight="1">
      <c r="A49" s="1143" t="s">
        <v>195</v>
      </c>
      <c r="B49" s="1143" t="s">
        <v>196</v>
      </c>
      <c r="C49" s="1143" t="s">
        <v>197</v>
      </c>
      <c r="D49" s="1143" t="s">
        <v>445</v>
      </c>
      <c r="E49" s="2112"/>
      <c r="F49" s="2112"/>
      <c r="G49" s="2112"/>
      <c r="H49" s="2112"/>
      <c r="I49" s="2113"/>
      <c r="J49" s="1143"/>
      <c r="K49" s="1143"/>
      <c r="L49" s="1144"/>
      <c r="P49" s="2115"/>
      <c r="Q49" s="1251"/>
      <c r="R49" s="237"/>
      <c r="S49" s="1062"/>
      <c r="T49" s="248" t="s">
        <v>338</v>
      </c>
      <c r="U49" s="251"/>
      <c r="V49" s="251"/>
      <c r="W49" s="251"/>
      <c r="X49" s="251"/>
      <c r="Y49" s="251"/>
      <c r="Z49" s="251"/>
      <c r="AA49" s="251"/>
      <c r="AB49" s="250"/>
      <c r="AC49" s="251"/>
      <c r="AD49" s="251"/>
      <c r="AE49" s="251"/>
      <c r="AF49" s="251"/>
      <c r="AG49" s="251"/>
      <c r="AH49" s="251"/>
      <c r="AI49" s="250"/>
      <c r="AJ49" s="251"/>
      <c r="AK49" s="1215"/>
      <c r="AM49" s="368"/>
      <c r="AN49" s="368" t="str">
        <f t="shared" si="1"/>
        <v>Добавить группу потребителей</v>
      </c>
      <c r="AO49" s="368"/>
      <c r="AP49" s="368"/>
    </row>
    <row r="50" spans="1:42" ht="21" customHeight="1">
      <c r="A50" s="1143" t="s">
        <v>195</v>
      </c>
      <c r="B50" s="1143" t="s">
        <v>196</v>
      </c>
      <c r="C50" s="1143" t="s">
        <v>197</v>
      </c>
      <c r="D50" s="1143" t="s">
        <v>445</v>
      </c>
      <c r="E50" s="2112"/>
      <c r="F50" s="2112"/>
      <c r="G50" s="2112"/>
      <c r="H50" s="2111"/>
      <c r="I50" s="1143"/>
      <c r="J50" s="1143"/>
      <c r="K50" s="1143"/>
      <c r="L50" s="1144"/>
      <c r="M50" s="1145"/>
      <c r="N50" s="1145"/>
      <c r="O50" s="395"/>
      <c r="P50" s="241"/>
      <c r="Q50" s="260"/>
      <c r="R50" s="236"/>
      <c r="S50" s="1062"/>
      <c r="T50" s="256" t="s">
        <v>414</v>
      </c>
      <c r="U50" s="251"/>
      <c r="V50" s="251"/>
      <c r="W50" s="251"/>
      <c r="X50" s="251"/>
      <c r="Y50" s="251"/>
      <c r="Z50" s="251"/>
      <c r="AA50" s="251"/>
      <c r="AB50" s="250"/>
      <c r="AC50" s="251"/>
      <c r="AD50" s="251"/>
      <c r="AE50" s="251"/>
      <c r="AF50" s="251"/>
      <c r="AG50" s="251"/>
      <c r="AH50" s="251"/>
      <c r="AI50" s="250"/>
      <c r="AJ50" s="251"/>
      <c r="AK50" s="178"/>
      <c r="AM50" s="368"/>
      <c r="AN50" s="368" t="str">
        <f t="shared" si="1"/>
        <v>Добавить наименование признака дифференциации</v>
      </c>
      <c r="AO50" s="368"/>
      <c r="AP50" s="368"/>
    </row>
    <row r="51" spans="1:42" s="1686" customFormat="1" ht="0" hidden="1" customHeight="1">
      <c r="A51" s="1124" t="s">
        <v>195</v>
      </c>
      <c r="B51" s="1124" t="s">
        <v>196</v>
      </c>
      <c r="C51" s="1096"/>
      <c r="D51" s="1096"/>
      <c r="E51" s="2112"/>
      <c r="F51" s="2111"/>
      <c r="G51" s="1096"/>
      <c r="H51" s="1096"/>
      <c r="I51" s="1096"/>
      <c r="J51" s="1096"/>
      <c r="K51" s="1096"/>
      <c r="L51" s="1264"/>
      <c r="M51" s="1103"/>
      <c r="N51" s="1103"/>
      <c r="P51" s="1098"/>
      <c r="Q51" s="1099"/>
      <c r="R51" s="1098"/>
      <c r="S51" s="1104"/>
      <c r="T51" s="1107" t="s">
        <v>341</v>
      </c>
      <c r="U51" s="1106"/>
      <c r="V51" s="1106"/>
      <c r="W51" s="1106"/>
      <c r="X51" s="1106"/>
      <c r="Y51" s="1106"/>
      <c r="Z51" s="1106"/>
      <c r="AA51" s="1106"/>
      <c r="AB51" s="1106"/>
      <c r="AC51" s="1106"/>
      <c r="AD51" s="1106"/>
      <c r="AE51" s="1106"/>
      <c r="AF51" s="1106"/>
      <c r="AG51" s="1106"/>
      <c r="AH51" s="1106"/>
      <c r="AI51" s="1106"/>
      <c r="AJ51" s="1106"/>
      <c r="AK51" s="1106"/>
      <c r="AM51" s="598"/>
      <c r="AN51" s="598" t="str">
        <f t="shared" si="1"/>
        <v>Добавить централизованную систему для дифференциации</v>
      </c>
      <c r="AO51" s="598"/>
      <c r="AP51" s="598"/>
    </row>
    <row r="52" spans="1:42" s="1622" customFormat="1" ht="0" hidden="1" customHeight="1">
      <c r="A52" s="1124" t="s">
        <v>195</v>
      </c>
      <c r="B52" s="1124"/>
      <c r="C52" s="1124"/>
      <c r="D52" s="1124"/>
      <c r="E52" s="2111"/>
      <c r="F52" s="1124"/>
      <c r="G52" s="1124"/>
      <c r="H52" s="1124"/>
      <c r="I52" s="1124"/>
      <c r="J52" s="1124"/>
      <c r="K52" s="1124"/>
      <c r="L52" s="1127"/>
      <c r="M52" s="1103"/>
      <c r="N52" s="1103"/>
      <c r="O52" s="386"/>
      <c r="P52" s="269"/>
      <c r="Q52" s="1125"/>
      <c r="R52" s="269"/>
      <c r="S52" s="1104"/>
      <c r="T52" s="1107" t="s">
        <v>342</v>
      </c>
      <c r="U52" s="1106"/>
      <c r="V52" s="1106"/>
      <c r="W52" s="1106"/>
      <c r="X52" s="1106"/>
      <c r="Y52" s="1106"/>
      <c r="Z52" s="1106"/>
      <c r="AA52" s="1106"/>
      <c r="AB52" s="1106"/>
      <c r="AC52" s="1106"/>
      <c r="AD52" s="1106"/>
      <c r="AE52" s="1106"/>
      <c r="AF52" s="1106"/>
      <c r="AG52" s="1106"/>
      <c r="AH52" s="1106"/>
      <c r="AI52" s="1106"/>
      <c r="AJ52" s="1106"/>
      <c r="AK52" s="1106"/>
      <c r="AM52" s="368"/>
      <c r="AN52" s="368" t="str">
        <f t="shared" si="1"/>
        <v>Добавить территорию для дифференциации</v>
      </c>
      <c r="AO52" s="368"/>
      <c r="AP52" s="368"/>
    </row>
    <row r="53" spans="1:42" s="1686" customFormat="1" ht="0" hidden="1" customHeight="1">
      <c r="A53" s="1096"/>
      <c r="B53" s="1096"/>
      <c r="C53" s="1096"/>
      <c r="D53" s="1096"/>
      <c r="E53" s="1124"/>
      <c r="F53" s="1096"/>
      <c r="G53" s="1096"/>
      <c r="H53" s="1096"/>
      <c r="I53" s="1096"/>
      <c r="J53" s="1096"/>
      <c r="K53" s="1096"/>
      <c r="L53" s="1264"/>
      <c r="M53" s="1103"/>
      <c r="N53" s="1103"/>
      <c r="P53" s="1098"/>
      <c r="Q53" s="1099"/>
      <c r="R53" s="1098"/>
      <c r="S53" s="1104"/>
      <c r="T53" s="1107" t="s">
        <v>374</v>
      </c>
      <c r="U53" s="1106"/>
      <c r="V53" s="1106"/>
      <c r="W53" s="1106"/>
      <c r="X53" s="1106"/>
      <c r="Y53" s="1106"/>
      <c r="Z53" s="1106"/>
      <c r="AA53" s="1106"/>
      <c r="AB53" s="1106"/>
      <c r="AC53" s="1106"/>
      <c r="AD53" s="1106"/>
      <c r="AE53" s="1106"/>
      <c r="AF53" s="1106"/>
      <c r="AG53" s="1106"/>
      <c r="AH53" s="1106"/>
      <c r="AI53" s="1106"/>
      <c r="AJ53" s="1106"/>
      <c r="AK53" s="1106"/>
      <c r="AM53" s="598"/>
      <c r="AN53" s="598" t="str">
        <f t="shared" si="1"/>
        <v>Добавить наименование тарифа</v>
      </c>
      <c r="AO53" s="598"/>
      <c r="AP53" s="598"/>
    </row>
    <row r="54" spans="1:42" ht="11.25" customHeight="1">
      <c r="M54" s="929"/>
      <c r="N54" s="929"/>
      <c r="O54" s="395"/>
      <c r="P54" s="924"/>
      <c r="Q54" s="924"/>
      <c r="R54" s="924"/>
      <c r="S54" s="924"/>
      <c r="AL54" s="924"/>
      <c r="AM54" s="924"/>
      <c r="AN54" s="924"/>
      <c r="AO54" s="924"/>
      <c r="AP54" s="924"/>
    </row>
    <row r="55" spans="1:42" ht="14.25" customHeight="1">
      <c r="O55" s="395"/>
      <c r="S55" s="1031"/>
      <c r="T55" s="2110"/>
      <c r="U55" s="2110"/>
      <c r="V55" s="2110"/>
      <c r="W55" s="2110"/>
      <c r="X55" s="2110"/>
      <c r="Y55" s="2110"/>
      <c r="Z55" s="2110"/>
      <c r="AA55" s="2110"/>
      <c r="AB55" s="2110"/>
      <c r="AC55" s="2110"/>
      <c r="AD55" s="2110"/>
      <c r="AE55" s="2110"/>
      <c r="AF55" s="2110"/>
      <c r="AG55" s="2110"/>
      <c r="AH55" s="2110"/>
      <c r="AI55" s="2110"/>
      <c r="AJ55" s="2110"/>
      <c r="AK55" s="2110"/>
    </row>
    <row r="56" spans="1:42" ht="14.25" customHeight="1">
      <c r="O56" s="395"/>
    </row>
    <row r="57" spans="1:42" ht="14.25" customHeight="1">
      <c r="O57" s="395"/>
      <c r="S57" s="1031"/>
      <c r="T57" s="2110"/>
      <c r="U57" s="2110"/>
      <c r="V57" s="2110"/>
      <c r="W57" s="2110"/>
      <c r="X57" s="2110"/>
      <c r="Y57" s="2110"/>
      <c r="Z57" s="2110"/>
      <c r="AA57" s="2110"/>
      <c r="AB57" s="2110"/>
      <c r="AC57" s="2110"/>
      <c r="AD57" s="2110"/>
      <c r="AE57" s="2110"/>
      <c r="AF57" s="2110"/>
      <c r="AG57" s="2110"/>
      <c r="AH57" s="2110"/>
      <c r="AI57" s="2110"/>
      <c r="AJ57" s="2110"/>
      <c r="AK57" s="211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687" hidden="1" customWidth="1"/>
    <col min="2" max="2" width="11" style="1687" hidden="1" customWidth="1"/>
    <col min="3" max="3" width="10.5703125" style="1687" hidden="1"/>
    <col min="4" max="4" width="12.85546875" style="1687" hidden="1" customWidth="1"/>
    <col min="5" max="5" width="10" style="1687" hidden="1" customWidth="1"/>
    <col min="6" max="6" width="8.7109375" style="1687" hidden="1" customWidth="1"/>
    <col min="7" max="7" width="7.5703125" style="1687" hidden="1" customWidth="1"/>
    <col min="8" max="8" width="11.42578125" style="1687" hidden="1" customWidth="1"/>
    <col min="9" max="9" width="12" style="1687" hidden="1" customWidth="1"/>
    <col min="10" max="10" width="9.85546875" style="1687" hidden="1" customWidth="1"/>
    <col min="11" max="11" width="11.42578125" style="1687" hidden="1" customWidth="1"/>
    <col min="12" max="12" width="19.140625" style="1706" hidden="1" customWidth="1"/>
    <col min="13" max="14" width="12.28515625" style="1689" hidden="1" customWidth="1"/>
    <col min="15" max="15" width="23.42578125" style="1689" hidden="1" customWidth="1"/>
    <col min="16" max="16" width="3.7109375" style="1689" hidden="1" customWidth="1"/>
    <col min="17" max="17" width="3.7109375" style="1690" hidden="1" customWidth="1"/>
    <col min="18" max="18" width="3.7109375" style="1695" customWidth="1"/>
    <col min="19" max="19" width="12.7109375" style="1696" customWidth="1"/>
    <col min="20" max="20" width="32" style="1661" customWidth="1"/>
    <col min="21" max="21" width="0.140625" style="1661" customWidth="1"/>
    <col min="22" max="25" width="21.7109375" style="1661" hidden="1" customWidth="1"/>
    <col min="26" max="26" width="11.7109375" style="1661" hidden="1" customWidth="1"/>
    <col min="27" max="27" width="3.7109375" style="1661" hidden="1" customWidth="1"/>
    <col min="28" max="28" width="11.7109375" style="1661" hidden="1" customWidth="1"/>
    <col min="29" max="29" width="8.5703125" style="1661" hidden="1" customWidth="1"/>
    <col min="30" max="32" width="3.7109375" style="1661" customWidth="1"/>
    <col min="33" max="33" width="24.7109375" style="1661" customWidth="1"/>
    <col min="34" max="36" width="3.7109375" style="1661" customWidth="1"/>
    <col min="37" max="37" width="24.7109375" style="1661" customWidth="1"/>
    <col min="38" max="40" width="3.7109375" style="1661" customWidth="1"/>
    <col min="41" max="41" width="18.85546875" style="1661" customWidth="1"/>
    <col min="42" max="44" width="3.7109375" style="1661" customWidth="1"/>
    <col min="45" max="45" width="18.85546875" style="1661" customWidth="1"/>
    <col min="46" max="49" width="21.7109375" style="1661" customWidth="1"/>
    <col min="50" max="50" width="11.7109375" style="1661" customWidth="1"/>
    <col min="51" max="51" width="3.7109375" style="1661" customWidth="1"/>
    <col min="52" max="52" width="11.7109375" style="1661" customWidth="1"/>
    <col min="53" max="53" width="8.5703125" style="1661" hidden="1" customWidth="1"/>
    <col min="54" max="54" width="4.7109375" style="1661" customWidth="1"/>
    <col min="55" max="55" width="115.7109375" style="1661" customWidth="1"/>
    <col min="56" max="57" width="10.5703125" style="1622"/>
    <col min="58" max="58" width="11.140625" style="1622" customWidth="1"/>
    <col min="59" max="60" width="10.5703125" style="1622"/>
  </cols>
  <sheetData>
    <row r="1" spans="1:60" ht="14.25" hidden="1" customHeight="1">
      <c r="W1" s="210"/>
      <c r="Y1" s="210"/>
      <c r="Z1" s="210"/>
      <c r="AW1" s="210"/>
      <c r="AX1" s="210"/>
    </row>
    <row r="2" spans="1:60" ht="21" hidden="1" customHeight="1">
      <c r="A2" s="1143"/>
      <c r="B2" s="1143"/>
      <c r="C2" s="1143"/>
      <c r="D2" s="1143"/>
      <c r="E2" s="2111">
        <v>1</v>
      </c>
      <c r="F2" s="1143"/>
      <c r="G2" s="1143"/>
      <c r="H2" s="1143"/>
      <c r="I2" s="1143"/>
      <c r="J2" s="1143"/>
      <c r="K2" s="1143"/>
      <c r="L2" s="1144"/>
      <c r="M2" s="1145"/>
      <c r="N2" s="1145"/>
      <c r="O2" s="1145"/>
      <c r="P2" s="1189"/>
      <c r="Q2" s="669"/>
      <c r="R2" s="236"/>
      <c r="S2" s="1263" t="e">
        <f>INDEX(PT_DIFFERENTIATION_NUM_NTAR,MATCH(A2,PT_DIFFERENTIATION_NTAR_ID,0))</f>
        <v>#N/A</v>
      </c>
      <c r="T2" s="173" t="s">
        <v>61</v>
      </c>
      <c r="U2" s="175"/>
      <c r="V2" s="2105"/>
      <c r="W2" s="2105"/>
      <c r="X2" s="2105"/>
      <c r="Y2" s="2105"/>
      <c r="Z2" s="2105"/>
      <c r="AA2" s="2105"/>
      <c r="AB2" s="2105"/>
      <c r="AC2" s="2106"/>
      <c r="AD2" s="2104" t="e">
        <f>INDEX(PT_DIFFERENTIATION_NTAR,MATCH(A2,PT_DIFFERENTIATION_NTAR_ID,0))</f>
        <v>#N/A</v>
      </c>
      <c r="AE2" s="2105"/>
      <c r="AF2" s="2105"/>
      <c r="AG2" s="2105"/>
      <c r="AH2" s="2105"/>
      <c r="AI2" s="2105"/>
      <c r="AJ2" s="2105"/>
      <c r="AK2" s="2105"/>
      <c r="AL2" s="2105"/>
      <c r="AM2" s="2105"/>
      <c r="AN2" s="2105"/>
      <c r="AO2" s="2105"/>
      <c r="AP2" s="2105"/>
      <c r="AQ2" s="2105"/>
      <c r="AR2" s="2105"/>
      <c r="AS2" s="2105"/>
      <c r="AT2" s="2105"/>
      <c r="AU2" s="2105"/>
      <c r="AV2" s="2105"/>
      <c r="AW2" s="2105"/>
      <c r="AX2" s="2105"/>
      <c r="AY2" s="2105"/>
      <c r="AZ2" s="2105"/>
      <c r="BA2" s="2105"/>
      <c r="BB2" s="2106"/>
      <c r="BC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68"/>
      <c r="BF2" s="368" t="str">
        <f t="shared" ref="BF2:BF8" si="0">IF(T2="","",T2)</f>
        <v>Наименование тарифа</v>
      </c>
      <c r="BG2" s="368"/>
      <c r="BH2" s="368"/>
    </row>
    <row r="3" spans="1:60" ht="21" hidden="1" customHeight="1">
      <c r="A3" s="1143"/>
      <c r="B3" s="1143"/>
      <c r="C3" s="1143"/>
      <c r="D3" s="1143"/>
      <c r="E3" s="2112"/>
      <c r="F3" s="2111">
        <v>1</v>
      </c>
      <c r="G3" s="1143"/>
      <c r="H3" s="1143"/>
      <c r="I3" s="1143"/>
      <c r="J3" s="1143"/>
      <c r="K3" s="1143"/>
      <c r="L3" s="1144"/>
      <c r="M3" s="1145"/>
      <c r="N3" s="1145"/>
      <c r="O3" s="1145"/>
      <c r="P3" s="1190"/>
      <c r="Q3" s="1191"/>
      <c r="R3" s="234"/>
      <c r="S3" s="1263" t="e">
        <f>INDEX(PT_DIFFERENTIATION_NUM_TER,MATCH(B3,PT_DIFFERENTIATION_TER_ID,0))</f>
        <v>#N/A</v>
      </c>
      <c r="T3" s="185" t="s">
        <v>323</v>
      </c>
      <c r="U3" s="175"/>
      <c r="V3" s="2105"/>
      <c r="W3" s="2105"/>
      <c r="X3" s="2105"/>
      <c r="Y3" s="2105"/>
      <c r="Z3" s="2105"/>
      <c r="AA3" s="2105"/>
      <c r="AB3" s="2105"/>
      <c r="AC3" s="2106"/>
      <c r="AD3" s="2104" t="e">
        <f>INDEX(PT_DIFFERENTIATION_TER,MATCH(B3,PT_DIFFERENTIATION_TER_ID,0))</f>
        <v>#N/A</v>
      </c>
      <c r="AE3" s="2105"/>
      <c r="AF3" s="2105"/>
      <c r="AG3" s="2105"/>
      <c r="AH3" s="2105"/>
      <c r="AI3" s="2105"/>
      <c r="AJ3" s="2105"/>
      <c r="AK3" s="2105"/>
      <c r="AL3" s="2105"/>
      <c r="AM3" s="2105"/>
      <c r="AN3" s="2105"/>
      <c r="AO3" s="2105"/>
      <c r="AP3" s="2105"/>
      <c r="AQ3" s="2105"/>
      <c r="AR3" s="2105"/>
      <c r="AS3" s="2105"/>
      <c r="AT3" s="2105"/>
      <c r="AU3" s="2105"/>
      <c r="AV3" s="2105"/>
      <c r="AW3" s="2105"/>
      <c r="AX3" s="2105"/>
      <c r="AY3" s="2105"/>
      <c r="AZ3" s="2105"/>
      <c r="BA3" s="2105"/>
      <c r="BB3" s="2106"/>
      <c r="BC3" s="1044" t="s">
        <v>324</v>
      </c>
      <c r="BE3" s="368"/>
      <c r="BF3" s="368" t="str">
        <f t="shared" si="0"/>
        <v>Территория действия тарифа</v>
      </c>
      <c r="BG3" s="368"/>
      <c r="BH3" s="368"/>
    </row>
    <row r="4" spans="1:60" ht="33.75" hidden="1" customHeight="1">
      <c r="A4" s="1143"/>
      <c r="B4" s="1143"/>
      <c r="C4" s="1143"/>
      <c r="D4" s="1143"/>
      <c r="E4" s="2112"/>
      <c r="F4" s="2112"/>
      <c r="G4" s="2111">
        <v>1</v>
      </c>
      <c r="H4" s="1143"/>
      <c r="I4" s="1143"/>
      <c r="J4" s="1143"/>
      <c r="K4" s="1143"/>
      <c r="L4" s="1144"/>
      <c r="M4" s="1145"/>
      <c r="N4" s="1145"/>
      <c r="O4" s="1145"/>
      <c r="P4" s="1192"/>
      <c r="Q4" s="1191"/>
      <c r="R4" s="234"/>
      <c r="S4" s="1263" t="e">
        <f>INDEX(PT_DIFFERENTIATION_NUM_CS,MATCH(C4,PT_DIFFERENTIATION_CS_ID,0))</f>
        <v>#N/A</v>
      </c>
      <c r="T4" s="186" t="s">
        <v>440</v>
      </c>
      <c r="U4" s="175"/>
      <c r="V4" s="2105"/>
      <c r="W4" s="2105"/>
      <c r="X4" s="2105"/>
      <c r="Y4" s="2105"/>
      <c r="Z4" s="2105"/>
      <c r="AA4" s="2105"/>
      <c r="AB4" s="2105"/>
      <c r="AC4" s="2106"/>
      <c r="AD4" s="2104" t="e">
        <f>INDEX(PT_DIFFERENTIATION_CS,MATCH(C4,PT_DIFFERENTIATION_CS_ID,0))</f>
        <v>#N/A</v>
      </c>
      <c r="AE4" s="2105"/>
      <c r="AF4" s="2105"/>
      <c r="AG4" s="2105"/>
      <c r="AH4" s="2105"/>
      <c r="AI4" s="2105"/>
      <c r="AJ4" s="2105"/>
      <c r="AK4" s="2105"/>
      <c r="AL4" s="2105"/>
      <c r="AM4" s="2105"/>
      <c r="AN4" s="2105"/>
      <c r="AO4" s="2105"/>
      <c r="AP4" s="2105"/>
      <c r="AQ4" s="2105"/>
      <c r="AR4" s="2105"/>
      <c r="AS4" s="2105"/>
      <c r="AT4" s="2105"/>
      <c r="AU4" s="2105"/>
      <c r="AV4" s="2105"/>
      <c r="AW4" s="2105"/>
      <c r="AX4" s="2105"/>
      <c r="AY4" s="2105"/>
      <c r="AZ4" s="2105"/>
      <c r="BA4" s="2105"/>
      <c r="BB4" s="2106"/>
      <c r="BC4" s="1044" t="s">
        <v>441</v>
      </c>
      <c r="BE4" s="368"/>
      <c r="BF4" s="368" t="str">
        <f t="shared" si="0"/>
        <v>Наименование централизованной системы водоотведения</v>
      </c>
      <c r="BG4" s="368"/>
      <c r="BH4" s="368"/>
    </row>
    <row r="5" spans="1:60" s="1622" customFormat="1" ht="14.25" hidden="1" customHeight="1">
      <c r="A5" s="1124"/>
      <c r="B5" s="1124"/>
      <c r="C5" s="1124"/>
      <c r="D5" s="1124"/>
      <c r="E5" s="2112"/>
      <c r="F5" s="2112"/>
      <c r="G5" s="2112"/>
      <c r="H5" s="2111">
        <v>1</v>
      </c>
      <c r="I5" s="1124"/>
      <c r="J5" s="1124"/>
      <c r="K5" s="1124"/>
      <c r="L5" s="1127"/>
      <c r="M5" s="1097"/>
      <c r="N5" s="1097"/>
      <c r="O5" s="1097"/>
      <c r="P5" s="1267"/>
      <c r="Q5" s="1268"/>
      <c r="R5" s="238"/>
      <c r="S5" s="825"/>
      <c r="T5" s="1269"/>
      <c r="U5" s="1164"/>
      <c r="V5" s="2141"/>
      <c r="W5" s="2141"/>
      <c r="X5" s="2141"/>
      <c r="Y5" s="2141"/>
      <c r="Z5" s="2141"/>
      <c r="AA5" s="2141"/>
      <c r="AB5" s="2141"/>
      <c r="AC5" s="2142"/>
      <c r="AD5" s="2140"/>
      <c r="AE5" s="2141"/>
      <c r="AF5" s="2141"/>
      <c r="AG5" s="2141"/>
      <c r="AH5" s="2141"/>
      <c r="AI5" s="2141"/>
      <c r="AJ5" s="2141"/>
      <c r="AK5" s="2141"/>
      <c r="AL5" s="2141"/>
      <c r="AM5" s="2141"/>
      <c r="AN5" s="2141"/>
      <c r="AO5" s="2141"/>
      <c r="AP5" s="2141"/>
      <c r="AQ5" s="2141"/>
      <c r="AR5" s="2141"/>
      <c r="AS5" s="2141"/>
      <c r="AT5" s="2141"/>
      <c r="AU5" s="2141"/>
      <c r="AV5" s="2141"/>
      <c r="AW5" s="2141"/>
      <c r="AX5" s="2141"/>
      <c r="AY5" s="2141"/>
      <c r="AZ5" s="2141"/>
      <c r="BA5" s="2141"/>
      <c r="BB5" s="2142"/>
      <c r="BC5" s="1165" t="s">
        <v>328</v>
      </c>
      <c r="BE5" s="368"/>
      <c r="BF5" s="368" t="str">
        <f t="shared" si="0"/>
        <v/>
      </c>
      <c r="BG5" s="368"/>
      <c r="BH5" s="368"/>
    </row>
    <row r="6" spans="1:60" s="1622" customFormat="1" ht="14.25" hidden="1" customHeight="1">
      <c r="A6" s="1124"/>
      <c r="B6" s="1124"/>
      <c r="C6" s="1124"/>
      <c r="D6" s="1124"/>
      <c r="E6" s="2112"/>
      <c r="F6" s="2112"/>
      <c r="G6" s="2112"/>
      <c r="H6" s="2112"/>
      <c r="I6" s="2113" t="str">
        <f>S5&amp;".1"</f>
        <v>.1</v>
      </c>
      <c r="J6" s="1124"/>
      <c r="K6" s="1124"/>
      <c r="L6" s="1127" t="s">
        <v>329</v>
      </c>
      <c r="M6" s="378"/>
      <c r="N6" s="378"/>
      <c r="O6" s="378"/>
      <c r="P6" s="2115">
        <v>1</v>
      </c>
      <c r="Q6" s="1251"/>
      <c r="R6" s="237"/>
      <c r="S6" s="825"/>
      <c r="T6" s="1163"/>
      <c r="U6" s="1164"/>
      <c r="V6" s="2141"/>
      <c r="W6" s="2141"/>
      <c r="X6" s="2141"/>
      <c r="Y6" s="2141"/>
      <c r="Z6" s="2141"/>
      <c r="AA6" s="2141"/>
      <c r="AB6" s="2141"/>
      <c r="AC6" s="2142"/>
      <c r="AD6" s="2140"/>
      <c r="AE6" s="2141"/>
      <c r="AF6" s="2141"/>
      <c r="AG6" s="2141"/>
      <c r="AH6" s="2141"/>
      <c r="AI6" s="2141"/>
      <c r="AJ6" s="2141"/>
      <c r="AK6" s="2141"/>
      <c r="AL6" s="2141"/>
      <c r="AM6" s="2141"/>
      <c r="AN6" s="2141"/>
      <c r="AO6" s="2141"/>
      <c r="AP6" s="2141"/>
      <c r="AQ6" s="2141"/>
      <c r="AR6" s="2141"/>
      <c r="AS6" s="2141"/>
      <c r="AT6" s="2141"/>
      <c r="AU6" s="2141"/>
      <c r="AV6" s="2141"/>
      <c r="AW6" s="2141"/>
      <c r="AX6" s="2141"/>
      <c r="AY6" s="2141"/>
      <c r="AZ6" s="2141"/>
      <c r="BA6" s="2141"/>
      <c r="BB6" s="2142"/>
      <c r="BC6" s="1165"/>
      <c r="BE6" s="368"/>
      <c r="BF6" s="368" t="str">
        <f t="shared" si="0"/>
        <v/>
      </c>
      <c r="BG6" s="368"/>
      <c r="BH6" s="368"/>
    </row>
    <row r="7" spans="1:60" s="1622" customFormat="1" ht="14.25" hidden="1" customHeight="1">
      <c r="A7" s="1124"/>
      <c r="B7" s="1124"/>
      <c r="C7" s="1124"/>
      <c r="D7" s="1124"/>
      <c r="E7" s="2112"/>
      <c r="F7" s="2112"/>
      <c r="G7" s="2112"/>
      <c r="H7" s="2112"/>
      <c r="I7" s="2114"/>
      <c r="J7" s="2113" t="str">
        <f>S5&amp;".1"</f>
        <v>.1</v>
      </c>
      <c r="K7" s="1124"/>
      <c r="L7" s="1127"/>
      <c r="M7" s="378"/>
      <c r="N7" s="378"/>
      <c r="O7" s="378"/>
      <c r="P7" s="2115"/>
      <c r="Q7" s="2115">
        <v>1</v>
      </c>
      <c r="R7" s="238"/>
      <c r="S7" s="825"/>
      <c r="T7" s="1179"/>
      <c r="U7" s="1164"/>
      <c r="V7" s="2141"/>
      <c r="W7" s="2141"/>
      <c r="X7" s="2141"/>
      <c r="Y7" s="2141"/>
      <c r="Z7" s="2141"/>
      <c r="AA7" s="2141"/>
      <c r="AB7" s="2141"/>
      <c r="AC7" s="2142"/>
      <c r="AD7" s="2140"/>
      <c r="AE7" s="2141"/>
      <c r="AF7" s="2141"/>
      <c r="AG7" s="2141"/>
      <c r="AH7" s="2141"/>
      <c r="AI7" s="2141"/>
      <c r="AJ7" s="2141"/>
      <c r="AK7" s="2141"/>
      <c r="AL7" s="2141"/>
      <c r="AM7" s="2141"/>
      <c r="AN7" s="2141"/>
      <c r="AO7" s="2141"/>
      <c r="AP7" s="2141"/>
      <c r="AQ7" s="2141"/>
      <c r="AR7" s="2141"/>
      <c r="AS7" s="2141"/>
      <c r="AT7" s="2141"/>
      <c r="AU7" s="2141"/>
      <c r="AV7" s="2141"/>
      <c r="AW7" s="2141"/>
      <c r="AX7" s="2141"/>
      <c r="AY7" s="2141"/>
      <c r="AZ7" s="2141"/>
      <c r="BA7" s="2141"/>
      <c r="BB7" s="2142"/>
      <c r="BC7" s="1165"/>
      <c r="BE7" s="368"/>
      <c r="BF7" s="368" t="str">
        <f t="shared" si="0"/>
        <v/>
      </c>
      <c r="BG7" s="368"/>
      <c r="BH7" s="368"/>
    </row>
    <row r="8" spans="1:60" ht="11.25" hidden="1" customHeight="1">
      <c r="A8" s="1143"/>
      <c r="B8" s="1143"/>
      <c r="C8" s="1143"/>
      <c r="D8" s="1143"/>
      <c r="E8" s="2112"/>
      <c r="F8" s="2112"/>
      <c r="G8" s="2112"/>
      <c r="H8" s="2112"/>
      <c r="I8" s="2114"/>
      <c r="J8" s="2114"/>
      <c r="K8" s="2113" t="e">
        <f>S4&amp;".1"</f>
        <v>#N/A</v>
      </c>
      <c r="L8" s="1144"/>
      <c r="P8" s="2115"/>
      <c r="Q8" s="2115"/>
      <c r="R8" s="2164">
        <v>1</v>
      </c>
      <c r="S8" s="2161" t="e">
        <f>$K8</f>
        <v>#N/A</v>
      </c>
      <c r="T8" s="2180"/>
      <c r="U8" s="175"/>
      <c r="V8" s="576"/>
      <c r="W8" s="1043"/>
      <c r="X8" s="576"/>
      <c r="Y8" s="1043"/>
      <c r="Z8" s="1474"/>
      <c r="AA8" s="1240" t="s">
        <v>16</v>
      </c>
      <c r="AB8" s="1474"/>
      <c r="AC8" s="1240" t="s">
        <v>16</v>
      </c>
      <c r="AD8" s="2049" t="s">
        <v>16</v>
      </c>
      <c r="AE8" s="2157"/>
      <c r="AF8" s="2063">
        <v>1</v>
      </c>
      <c r="AG8" s="2179"/>
      <c r="AH8" s="2109" t="s">
        <v>16</v>
      </c>
      <c r="AI8" s="2157"/>
      <c r="AJ8" s="2063">
        <v>1</v>
      </c>
      <c r="AK8" s="2178" t="s">
        <v>1</v>
      </c>
      <c r="AL8" s="2109" t="s">
        <v>16</v>
      </c>
      <c r="AM8" s="2037"/>
      <c r="AN8" s="2063">
        <v>1</v>
      </c>
      <c r="AO8" s="2183"/>
      <c r="AP8" s="2184" t="s">
        <v>16</v>
      </c>
      <c r="AQ8" s="188"/>
      <c r="AR8" s="1256">
        <v>1</v>
      </c>
      <c r="AS8" s="1262" t="s">
        <v>1</v>
      </c>
      <c r="AT8" s="576"/>
      <c r="AU8" s="1043"/>
      <c r="AV8" s="576"/>
      <c r="AW8" s="1043"/>
      <c r="AX8" s="1474"/>
      <c r="AY8" s="1240" t="s">
        <v>16</v>
      </c>
      <c r="AZ8" s="1474"/>
      <c r="BA8" s="1240" t="s">
        <v>16</v>
      </c>
      <c r="BB8" s="1129"/>
      <c r="BC8" s="2134" t="s">
        <v>425</v>
      </c>
      <c r="BE8" s="368"/>
      <c r="BF8" s="368" t="str">
        <f t="shared" si="0"/>
        <v/>
      </c>
      <c r="BG8" s="368"/>
      <c r="BH8" s="368"/>
    </row>
    <row r="9" spans="1:60" ht="11.25" hidden="1" customHeight="1">
      <c r="A9" s="1143"/>
      <c r="B9" s="1143"/>
      <c r="C9" s="1143"/>
      <c r="D9" s="1143"/>
      <c r="E9" s="2112"/>
      <c r="F9" s="2112"/>
      <c r="G9" s="2112"/>
      <c r="H9" s="2112"/>
      <c r="I9" s="2114"/>
      <c r="J9" s="2114"/>
      <c r="K9" s="2113"/>
      <c r="L9" s="1144"/>
      <c r="P9" s="2115"/>
      <c r="Q9" s="2115"/>
      <c r="R9" s="2164"/>
      <c r="S9" s="2162"/>
      <c r="T9" s="2181"/>
      <c r="U9" s="175"/>
      <c r="V9" s="1173"/>
      <c r="W9" s="1266"/>
      <c r="X9" s="1173"/>
      <c r="Y9" s="1266"/>
      <c r="Z9" s="1173"/>
      <c r="AA9" s="1173"/>
      <c r="AB9" s="1173"/>
      <c r="AC9" s="1173"/>
      <c r="AD9" s="2050"/>
      <c r="AE9" s="2157"/>
      <c r="AF9" s="2063"/>
      <c r="AG9" s="2179"/>
      <c r="AH9" s="2109"/>
      <c r="AI9" s="2157"/>
      <c r="AJ9" s="2063"/>
      <c r="AK9" s="2178"/>
      <c r="AL9" s="2109"/>
      <c r="AM9" s="2042"/>
      <c r="AN9" s="2063"/>
      <c r="AO9" s="2183"/>
      <c r="AP9" s="2185"/>
      <c r="AQ9" s="195"/>
      <c r="AR9" s="296"/>
      <c r="AS9" s="296" t="s">
        <v>426</v>
      </c>
      <c r="AT9" s="1173"/>
      <c r="AU9" s="1266"/>
      <c r="AV9" s="1173"/>
      <c r="AW9" s="1266"/>
      <c r="AX9" s="1173"/>
      <c r="AY9" s="1173"/>
      <c r="AZ9" s="1173"/>
      <c r="BA9" s="1173"/>
      <c r="BB9" s="1177"/>
      <c r="BC9" s="2135"/>
      <c r="BE9" s="368"/>
      <c r="BF9" s="368"/>
      <c r="BG9" s="368"/>
      <c r="BH9" s="368"/>
    </row>
    <row r="10" spans="1:60" ht="11.25" hidden="1" customHeight="1">
      <c r="A10" s="1143"/>
      <c r="B10" s="1143"/>
      <c r="C10" s="1143"/>
      <c r="D10" s="1143"/>
      <c r="E10" s="2112"/>
      <c r="F10" s="2112"/>
      <c r="G10" s="2112"/>
      <c r="H10" s="2112"/>
      <c r="I10" s="2114"/>
      <c r="J10" s="2114"/>
      <c r="K10" s="2113"/>
      <c r="L10" s="1144"/>
      <c r="P10" s="2115"/>
      <c r="Q10" s="2115"/>
      <c r="R10" s="2164"/>
      <c r="S10" s="2162"/>
      <c r="T10" s="2181"/>
      <c r="U10" s="175"/>
      <c r="V10" s="1173"/>
      <c r="W10" s="1266"/>
      <c r="X10" s="1173"/>
      <c r="Y10" s="1266"/>
      <c r="Z10" s="1173"/>
      <c r="AA10" s="1173"/>
      <c r="AB10" s="1173"/>
      <c r="AC10" s="1173"/>
      <c r="AD10" s="2050"/>
      <c r="AE10" s="2157"/>
      <c r="AF10" s="2063"/>
      <c r="AG10" s="2179"/>
      <c r="AH10" s="2109"/>
      <c r="AI10" s="2157"/>
      <c r="AJ10" s="2063"/>
      <c r="AK10" s="2178"/>
      <c r="AL10" s="2109"/>
      <c r="AM10" s="195"/>
      <c r="AN10" s="1270"/>
      <c r="AO10" s="1270" t="s">
        <v>446</v>
      </c>
      <c r="AP10" s="296"/>
      <c r="AQ10" s="296"/>
      <c r="AR10" s="296"/>
      <c r="AS10" s="1173"/>
      <c r="AT10" s="1173"/>
      <c r="AU10" s="1266"/>
      <c r="AV10" s="1173"/>
      <c r="AW10" s="1266"/>
      <c r="AX10" s="1173"/>
      <c r="AY10" s="1173"/>
      <c r="AZ10" s="1173"/>
      <c r="BA10" s="1173"/>
      <c r="BB10" s="1177"/>
      <c r="BC10" s="2135"/>
      <c r="BE10" s="368"/>
      <c r="BF10" s="368"/>
      <c r="BG10" s="368"/>
      <c r="BH10" s="368"/>
    </row>
    <row r="11" spans="1:60" ht="11.25" hidden="1" customHeight="1">
      <c r="A11" s="1143"/>
      <c r="B11" s="1143"/>
      <c r="C11" s="1143"/>
      <c r="D11" s="1143"/>
      <c r="E11" s="2112"/>
      <c r="F11" s="2112"/>
      <c r="G11" s="2112"/>
      <c r="H11" s="2112"/>
      <c r="I11" s="2114"/>
      <c r="J11" s="2114"/>
      <c r="K11" s="2113"/>
      <c r="L11" s="1144"/>
      <c r="P11" s="2115"/>
      <c r="Q11" s="2115"/>
      <c r="R11" s="2164"/>
      <c r="S11" s="2162"/>
      <c r="T11" s="2181"/>
      <c r="U11" s="175"/>
      <c r="V11" s="1173"/>
      <c r="W11" s="1266"/>
      <c r="X11" s="1173"/>
      <c r="Y11" s="1266"/>
      <c r="Z11" s="1173"/>
      <c r="AA11" s="1173"/>
      <c r="AB11" s="1173"/>
      <c r="AC11" s="1173"/>
      <c r="AD11" s="2050"/>
      <c r="AE11" s="2157"/>
      <c r="AF11" s="2063"/>
      <c r="AG11" s="2179"/>
      <c r="AH11" s="2109"/>
      <c r="AI11" s="169"/>
      <c r="AJ11" s="295"/>
      <c r="AK11" s="190" t="s">
        <v>447</v>
      </c>
      <c r="AL11" s="1173"/>
      <c r="AM11" s="1173"/>
      <c r="AN11" s="1173"/>
      <c r="AO11" s="1173"/>
      <c r="AP11" s="1173"/>
      <c r="AQ11" s="1173"/>
      <c r="AR11" s="1173"/>
      <c r="AS11" s="1173"/>
      <c r="AT11" s="1173"/>
      <c r="AU11" s="1266"/>
      <c r="AV11" s="1173"/>
      <c r="AW11" s="1266"/>
      <c r="AX11" s="1173"/>
      <c r="AY11" s="1173"/>
      <c r="AZ11" s="1173"/>
      <c r="BA11" s="1173"/>
      <c r="BB11" s="1177"/>
      <c r="BC11" s="2135"/>
      <c r="BE11" s="368"/>
      <c r="BF11" s="368"/>
      <c r="BG11" s="368"/>
      <c r="BH11" s="368"/>
    </row>
    <row r="12" spans="1:60" ht="11.25" hidden="1" customHeight="1">
      <c r="A12" s="1143"/>
      <c r="B12" s="1143"/>
      <c r="C12" s="1143"/>
      <c r="D12" s="1143"/>
      <c r="E12" s="2112"/>
      <c r="F12" s="2112"/>
      <c r="G12" s="2112"/>
      <c r="H12" s="2112"/>
      <c r="I12" s="2114"/>
      <c r="J12" s="2114"/>
      <c r="K12" s="2113"/>
      <c r="L12" s="1144"/>
      <c r="P12" s="2115"/>
      <c r="Q12" s="2115"/>
      <c r="R12" s="2164"/>
      <c r="S12" s="2163"/>
      <c r="T12" s="2182"/>
      <c r="U12" s="175"/>
      <c r="V12" s="1173"/>
      <c r="W12" s="1174" t="str">
        <f>Z8&amp;"-"&amp;AB8</f>
        <v>-</v>
      </c>
      <c r="X12" s="1173"/>
      <c r="Y12" s="1174" t="str">
        <f>AB8&amp;"-"&amp;AD8</f>
        <v>-да</v>
      </c>
      <c r="Z12" s="1173"/>
      <c r="AA12" s="1173"/>
      <c r="AB12" s="1173"/>
      <c r="AC12" s="1173"/>
      <c r="AD12" s="2051"/>
      <c r="AE12" s="189"/>
      <c r="AF12" s="191"/>
      <c r="AG12" s="296" t="s">
        <v>429</v>
      </c>
      <c r="AH12" s="1173"/>
      <c r="AI12" s="1173"/>
      <c r="AJ12" s="1173"/>
      <c r="AK12" s="1173"/>
      <c r="AL12" s="1173"/>
      <c r="AM12" s="1173"/>
      <c r="AN12" s="1173"/>
      <c r="AO12" s="1173"/>
      <c r="AP12" s="1173"/>
      <c r="AQ12" s="1173"/>
      <c r="AR12" s="1173"/>
      <c r="AS12" s="1173"/>
      <c r="AT12" s="1173"/>
      <c r="AU12" s="1174" t="str">
        <f>AX8&amp;"-"&amp;AZ8</f>
        <v>-</v>
      </c>
      <c r="AV12" s="1173"/>
      <c r="AW12" s="1174" t="str">
        <f>AZ8&amp;"-"&amp;BB8</f>
        <v>-</v>
      </c>
      <c r="AX12" s="1173"/>
      <c r="AY12" s="1173"/>
      <c r="AZ12" s="1173"/>
      <c r="BA12" s="1173"/>
      <c r="BB12" s="1176" t="str">
        <f>BE8&amp;"-"&amp;BG8</f>
        <v>-</v>
      </c>
      <c r="BC12" s="2135"/>
      <c r="BE12" s="368"/>
      <c r="BF12" s="368" t="str">
        <f t="shared" ref="BF12:BF18" si="1">IF(T12="","",T12)</f>
        <v/>
      </c>
      <c r="BG12" s="368"/>
      <c r="BH12" s="368"/>
    </row>
    <row r="13" spans="1:60" ht="11.25" hidden="1" customHeight="1">
      <c r="A13" s="1143"/>
      <c r="B13" s="1143"/>
      <c r="C13" s="1143"/>
      <c r="D13" s="1143"/>
      <c r="E13" s="2112"/>
      <c r="F13" s="2112"/>
      <c r="G13" s="2112"/>
      <c r="H13" s="2112"/>
      <c r="I13" s="2114"/>
      <c r="J13" s="2113"/>
      <c r="K13" s="1143"/>
      <c r="L13" s="1144"/>
      <c r="P13" s="2115"/>
      <c r="Q13" s="2115"/>
      <c r="R13" s="237"/>
      <c r="S13" s="1062"/>
      <c r="T13" s="163" t="s">
        <v>393</v>
      </c>
      <c r="U13" s="251"/>
      <c r="V13" s="251"/>
      <c r="W13" s="251"/>
      <c r="X13" s="251"/>
      <c r="Y13" s="251"/>
      <c r="Z13" s="251"/>
      <c r="AA13" s="251"/>
      <c r="AB13" s="251"/>
      <c r="AC13" s="251"/>
      <c r="AD13" s="1275"/>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06"/>
      <c r="BC13" s="2136"/>
      <c r="BE13" s="368"/>
      <c r="BF13" s="368" t="str">
        <f t="shared" si="1"/>
        <v>Добавить строку</v>
      </c>
      <c r="BG13" s="368"/>
      <c r="BH13" s="368"/>
    </row>
    <row r="14" spans="1:60" s="1622" customFormat="1" ht="14.25" hidden="1" customHeight="1">
      <c r="A14" s="1124"/>
      <c r="B14" s="1124"/>
      <c r="C14" s="1124"/>
      <c r="D14" s="1124"/>
      <c r="E14" s="2112"/>
      <c r="F14" s="2112"/>
      <c r="G14" s="2112"/>
      <c r="H14" s="2112"/>
      <c r="I14" s="2113"/>
      <c r="J14" s="1124"/>
      <c r="K14" s="1124"/>
      <c r="L14" s="1127"/>
      <c r="M14" s="378"/>
      <c r="N14" s="378"/>
      <c r="O14" s="378"/>
      <c r="P14" s="2115"/>
      <c r="Q14" s="1251"/>
      <c r="R14" s="237"/>
      <c r="S14" s="1166"/>
      <c r="T14" s="1167"/>
      <c r="U14" s="1168"/>
      <c r="V14" s="1168"/>
      <c r="W14" s="1168"/>
      <c r="X14" s="1168"/>
      <c r="Y14" s="1168"/>
      <c r="Z14" s="1168"/>
      <c r="AA14" s="1168"/>
      <c r="AB14" s="1168"/>
      <c r="AC14" s="1168"/>
      <c r="AD14" s="1168"/>
      <c r="AE14" s="1168"/>
      <c r="AF14" s="1168"/>
      <c r="AG14" s="1168"/>
      <c r="AH14" s="1168"/>
      <c r="AI14" s="1168"/>
      <c r="AJ14" s="1168"/>
      <c r="AK14" s="1168"/>
      <c r="AL14" s="1168"/>
      <c r="AM14" s="1168"/>
      <c r="AN14" s="1168"/>
      <c r="AO14" s="1168"/>
      <c r="AP14" s="1168"/>
      <c r="AQ14" s="1168"/>
      <c r="AR14" s="1168"/>
      <c r="AS14" s="1168"/>
      <c r="AT14" s="1168"/>
      <c r="AU14" s="1168"/>
      <c r="AV14" s="1168"/>
      <c r="AW14" s="1168"/>
      <c r="AX14" s="1168"/>
      <c r="AY14" s="1168"/>
      <c r="AZ14" s="1168"/>
      <c r="BA14" s="1168"/>
      <c r="BB14" s="1168"/>
      <c r="BC14" s="1169"/>
      <c r="BE14" s="368"/>
      <c r="BF14" s="368" t="str">
        <f t="shared" si="1"/>
        <v/>
      </c>
      <c r="BG14" s="368"/>
      <c r="BH14" s="368"/>
    </row>
    <row r="15" spans="1:60" s="1622" customFormat="1" ht="14.25" hidden="1" customHeight="1">
      <c r="A15" s="1124"/>
      <c r="B15" s="1124"/>
      <c r="C15" s="1124"/>
      <c r="D15" s="1124"/>
      <c r="E15" s="2112"/>
      <c r="F15" s="2112"/>
      <c r="G15" s="2112"/>
      <c r="H15" s="2111"/>
      <c r="I15" s="1124"/>
      <c r="J15" s="1124"/>
      <c r="K15" s="1124"/>
      <c r="L15" s="1127"/>
      <c r="M15" s="1097"/>
      <c r="N15" s="1097"/>
      <c r="O15" s="386"/>
      <c r="P15" s="269"/>
      <c r="Q15" s="1125"/>
      <c r="R15" s="1181"/>
      <c r="S15" s="1166"/>
      <c r="T15" s="1167"/>
      <c r="U15" s="1168"/>
      <c r="V15" s="1168"/>
      <c r="W15" s="1168"/>
      <c r="X15" s="1168"/>
      <c r="Y15" s="1168"/>
      <c r="Z15" s="1168"/>
      <c r="AA15" s="1168"/>
      <c r="AB15" s="1168"/>
      <c r="AC15" s="1168"/>
      <c r="AD15" s="1168"/>
      <c r="AE15" s="1168"/>
      <c r="AF15" s="1168"/>
      <c r="AG15" s="1168"/>
      <c r="AH15" s="1168"/>
      <c r="AI15" s="1168"/>
      <c r="AJ15" s="1168"/>
      <c r="AK15" s="1168"/>
      <c r="AL15" s="1168"/>
      <c r="AM15" s="1168"/>
      <c r="AN15" s="1168"/>
      <c r="AO15" s="1168"/>
      <c r="AP15" s="1168"/>
      <c r="AQ15" s="1168"/>
      <c r="AR15" s="1168"/>
      <c r="AS15" s="1168"/>
      <c r="AT15" s="1168"/>
      <c r="AU15" s="1168"/>
      <c r="AV15" s="1168"/>
      <c r="AW15" s="1168"/>
      <c r="AX15" s="1168"/>
      <c r="AY15" s="1168"/>
      <c r="AZ15" s="1168"/>
      <c r="BA15" s="1168"/>
      <c r="BB15" s="1168"/>
      <c r="BC15" s="1169"/>
      <c r="BE15" s="368"/>
      <c r="BF15" s="368" t="str">
        <f t="shared" si="1"/>
        <v/>
      </c>
      <c r="BG15" s="368"/>
      <c r="BH15" s="368"/>
    </row>
    <row r="16" spans="1:60" s="1686" customFormat="1" ht="14.25" hidden="1" customHeight="1">
      <c r="A16" s="1124"/>
      <c r="B16" s="1124"/>
      <c r="C16" s="1124"/>
      <c r="D16" s="1096"/>
      <c r="E16" s="2112"/>
      <c r="F16" s="2112"/>
      <c r="G16" s="2111"/>
      <c r="H16" s="1096"/>
      <c r="I16" s="1096"/>
      <c r="J16" s="1096"/>
      <c r="K16" s="1096"/>
      <c r="L16" s="1264"/>
      <c r="M16" s="1097"/>
      <c r="N16" s="1097"/>
      <c r="P16" s="1098"/>
      <c r="Q16" s="1099"/>
      <c r="R16" s="1098"/>
      <c r="S16" s="1104"/>
      <c r="T16" s="1107"/>
      <c r="U16" s="1106"/>
      <c r="V16" s="1106"/>
      <c r="W16" s="1106"/>
      <c r="X16" s="1106"/>
      <c r="Y16" s="1106"/>
      <c r="Z16" s="1106"/>
      <c r="AA16" s="1106"/>
      <c r="AB16" s="1106"/>
      <c r="AC16" s="1106"/>
      <c r="AD16" s="1106"/>
      <c r="AE16" s="1106"/>
      <c r="AF16" s="1106"/>
      <c r="AG16" s="1106"/>
      <c r="AH16" s="1106"/>
      <c r="AI16" s="1106"/>
      <c r="AJ16" s="1106"/>
      <c r="AK16" s="1106"/>
      <c r="AL16" s="1106"/>
      <c r="AM16" s="1106"/>
      <c r="AN16" s="1106"/>
      <c r="AO16" s="1106"/>
      <c r="AP16" s="1106"/>
      <c r="AQ16" s="1106"/>
      <c r="AR16" s="1106"/>
      <c r="AS16" s="1106"/>
      <c r="AT16" s="1106"/>
      <c r="AU16" s="1106"/>
      <c r="AV16" s="1106"/>
      <c r="AW16" s="1106"/>
      <c r="AX16" s="1106"/>
      <c r="AY16" s="1106"/>
      <c r="AZ16" s="1106"/>
      <c r="BA16" s="1106"/>
      <c r="BB16" s="1106"/>
      <c r="BC16" s="1106"/>
      <c r="BE16" s="598"/>
      <c r="BF16" s="598" t="str">
        <f t="shared" si="1"/>
        <v/>
      </c>
      <c r="BG16" s="598"/>
      <c r="BH16" s="598"/>
    </row>
    <row r="17" spans="1:60" s="1686" customFormat="1" ht="14.25" hidden="1" customHeight="1">
      <c r="A17" s="1124"/>
      <c r="B17" s="1124"/>
      <c r="C17" s="1096"/>
      <c r="D17" s="1096"/>
      <c r="E17" s="2112"/>
      <c r="F17" s="2111"/>
      <c r="G17" s="1096"/>
      <c r="H17" s="1096"/>
      <c r="I17" s="1096"/>
      <c r="J17" s="1096"/>
      <c r="K17" s="1096"/>
      <c r="L17" s="1264"/>
      <c r="M17" s="1103"/>
      <c r="N17" s="1103"/>
      <c r="P17" s="1098"/>
      <c r="Q17" s="1099"/>
      <c r="R17" s="1098"/>
      <c r="S17" s="1104"/>
      <c r="T17" s="1107" t="s">
        <v>341</v>
      </c>
      <c r="U17" s="1106"/>
      <c r="V17" s="1106"/>
      <c r="W17" s="1106"/>
      <c r="X17" s="1106"/>
      <c r="Y17" s="1106"/>
      <c r="Z17" s="1106"/>
      <c r="AA17" s="1106"/>
      <c r="AB17" s="1106"/>
      <c r="AC17" s="1106"/>
      <c r="AD17" s="1106"/>
      <c r="AE17" s="1106"/>
      <c r="AF17" s="1106"/>
      <c r="AG17" s="1106"/>
      <c r="AH17" s="1106"/>
      <c r="AI17" s="1106"/>
      <c r="AJ17" s="1106"/>
      <c r="AK17" s="1106"/>
      <c r="AL17" s="1106"/>
      <c r="AM17" s="1106"/>
      <c r="AN17" s="1106"/>
      <c r="AO17" s="1106"/>
      <c r="AP17" s="1106"/>
      <c r="AQ17" s="1106"/>
      <c r="AR17" s="1106"/>
      <c r="AS17" s="1106"/>
      <c r="AT17" s="1106"/>
      <c r="AU17" s="1106"/>
      <c r="AV17" s="1106"/>
      <c r="AW17" s="1106"/>
      <c r="AX17" s="1106"/>
      <c r="AY17" s="1106"/>
      <c r="AZ17" s="1106"/>
      <c r="BA17" s="1106"/>
      <c r="BB17" s="1106"/>
      <c r="BC17" s="1106"/>
      <c r="BE17" s="598"/>
      <c r="BF17" s="598" t="str">
        <f t="shared" si="1"/>
        <v>Добавить централизованную систему для дифференциации</v>
      </c>
      <c r="BG17" s="598"/>
      <c r="BH17" s="598"/>
    </row>
    <row r="18" spans="1:60" s="1622" customFormat="1" ht="14.25" hidden="1" customHeight="1">
      <c r="A18" s="1124"/>
      <c r="B18" s="1124"/>
      <c r="C18" s="1124"/>
      <c r="D18" s="1124"/>
      <c r="E18" s="2111"/>
      <c r="F18" s="1124"/>
      <c r="G18" s="1124"/>
      <c r="H18" s="1124"/>
      <c r="I18" s="1124"/>
      <c r="J18" s="1124"/>
      <c r="K18" s="1124"/>
      <c r="L18" s="1127"/>
      <c r="M18" s="1103"/>
      <c r="N18" s="1103"/>
      <c r="O18" s="386"/>
      <c r="P18" s="269"/>
      <c r="Q18" s="1125"/>
      <c r="R18" s="269"/>
      <c r="S18" s="1104"/>
      <c r="T18" s="1107" t="s">
        <v>342</v>
      </c>
      <c r="U18" s="1106"/>
      <c r="V18" s="1106"/>
      <c r="W18" s="1106"/>
      <c r="X18" s="1106"/>
      <c r="Y18" s="1106"/>
      <c r="Z18" s="1106"/>
      <c r="AA18" s="1106"/>
      <c r="AB18" s="1106"/>
      <c r="AC18" s="1106"/>
      <c r="AD18" s="1106"/>
      <c r="AE18" s="1106"/>
      <c r="AF18" s="1106"/>
      <c r="AG18" s="1106"/>
      <c r="AH18" s="1106"/>
      <c r="AI18" s="1106"/>
      <c r="AJ18" s="1106"/>
      <c r="AK18" s="1106"/>
      <c r="AL18" s="1106"/>
      <c r="AM18" s="1106"/>
      <c r="AN18" s="1106"/>
      <c r="AO18" s="1106"/>
      <c r="AP18" s="1106"/>
      <c r="AQ18" s="1106"/>
      <c r="AR18" s="1106"/>
      <c r="AS18" s="1106"/>
      <c r="AT18" s="1106"/>
      <c r="AU18" s="1106"/>
      <c r="AV18" s="1106"/>
      <c r="AW18" s="1106"/>
      <c r="AX18" s="1106"/>
      <c r="AY18" s="1106"/>
      <c r="AZ18" s="1106"/>
      <c r="BA18" s="1106"/>
      <c r="BB18" s="1106"/>
      <c r="BC18" s="1106"/>
      <c r="BE18" s="368"/>
      <c r="BF18" s="368" t="str">
        <f t="shared" si="1"/>
        <v>Добавить территорию для дифференциации</v>
      </c>
      <c r="BG18" s="368"/>
      <c r="BH18" s="368"/>
    </row>
    <row r="19" spans="1:60" ht="14.25" hidden="1" customHeight="1">
      <c r="AC19" s="210"/>
      <c r="BA19" s="210"/>
    </row>
    <row r="20" spans="1:60" ht="14.25" hidden="1" customHeight="1">
      <c r="AD20" s="1106" t="s">
        <v>15</v>
      </c>
      <c r="AE20" s="1271"/>
      <c r="AF20" s="406">
        <v>1</v>
      </c>
      <c r="AG20" s="1272"/>
      <c r="AH20" s="1106" t="s">
        <v>15</v>
      </c>
      <c r="AI20" s="1271"/>
      <c r="AJ20" s="406">
        <v>1</v>
      </c>
      <c r="AK20" s="1272"/>
      <c r="AL20" s="1106" t="s">
        <v>15</v>
      </c>
      <c r="AM20" s="1273"/>
      <c r="AN20" s="406">
        <v>1</v>
      </c>
      <c r="AO20" s="1274"/>
      <c r="AP20" s="1106" t="s">
        <v>15</v>
      </c>
      <c r="AQ20" s="1273"/>
      <c r="AR20" s="406">
        <v>1</v>
      </c>
      <c r="AS20" s="1274"/>
      <c r="AT20" s="207"/>
      <c r="AU20" s="274"/>
      <c r="AV20" s="207"/>
      <c r="AW20" s="274"/>
      <c r="AX20" s="1476"/>
      <c r="AY20" s="1255" t="s">
        <v>16</v>
      </c>
      <c r="AZ20" s="1476"/>
      <c r="BA20" s="1255" t="s">
        <v>16</v>
      </c>
    </row>
    <row r="21" spans="1:60" ht="14.25" hidden="1" customHeight="1">
      <c r="BD21" s="364"/>
      <c r="BE21" s="364"/>
      <c r="BF21" s="364"/>
      <c r="BG21" s="364"/>
      <c r="BH21" s="364"/>
    </row>
    <row r="22" spans="1:60" ht="14.25" hidden="1" customHeight="1">
      <c r="O22" s="1147" t="s">
        <v>343</v>
      </c>
      <c r="Z22" s="1126"/>
      <c r="AB22" s="1126"/>
      <c r="AC22" s="210"/>
      <c r="AX22" s="1126"/>
      <c r="AZ22" s="1126"/>
      <c r="BA22" s="210"/>
      <c r="BD22" s="364"/>
      <c r="BE22" s="364"/>
      <c r="BF22" s="364"/>
      <c r="BG22" s="364"/>
      <c r="BH22" s="364"/>
    </row>
    <row r="23" spans="1:60" ht="14.25" hidden="1" customHeight="1">
      <c r="AC23" s="210"/>
      <c r="BA23" s="210"/>
      <c r="BD23" s="364"/>
      <c r="BE23" s="364"/>
      <c r="BF23" s="364"/>
      <c r="BG23" s="364"/>
      <c r="BH23" s="364"/>
    </row>
    <row r="24" spans="1:60" s="1700" customFormat="1" ht="14.25" hidden="1" customHeight="1">
      <c r="M24" s="1278"/>
      <c r="N24" s="1278"/>
      <c r="O24" s="1279" t="s">
        <v>344</v>
      </c>
      <c r="P24" s="1278"/>
      <c r="Q24" s="1280"/>
      <c r="R24" s="1280"/>
      <c r="AA24" s="1277" t="s">
        <v>346</v>
      </c>
      <c r="AC24" s="1277" t="s">
        <v>347</v>
      </c>
      <c r="AD24" s="1277" t="s">
        <v>394</v>
      </c>
      <c r="AH24" s="1277" t="s">
        <v>394</v>
      </c>
      <c r="AK24" s="1277" t="s">
        <v>430</v>
      </c>
      <c r="AL24" s="1277" t="s">
        <v>394</v>
      </c>
      <c r="AP24" s="1277" t="s">
        <v>394</v>
      </c>
      <c r="AY24" s="1277" t="s">
        <v>346</v>
      </c>
      <c r="BA24" s="1277" t="s">
        <v>347</v>
      </c>
      <c r="BD24" s="1281"/>
      <c r="BE24" s="1281"/>
      <c r="BF24" s="1281"/>
      <c r="BG24" s="1281"/>
      <c r="BH24" s="1281"/>
    </row>
    <row r="25" spans="1:60" ht="14.25" hidden="1" customHeight="1">
      <c r="O25" s="1144"/>
      <c r="BD25" s="364"/>
      <c r="BE25" s="364"/>
      <c r="BF25" s="364"/>
      <c r="BG25" s="364"/>
      <c r="BH25" s="364"/>
    </row>
    <row r="26" spans="1:60" ht="14.25" hidden="1" customHeight="1">
      <c r="O26" s="1144"/>
      <c r="BD26" s="364"/>
      <c r="BE26" s="364"/>
      <c r="BF26" s="364"/>
      <c r="BG26" s="364"/>
      <c r="BH26" s="364"/>
    </row>
    <row r="27" spans="1:60" ht="14.25" customHeight="1">
      <c r="Q27" s="167"/>
      <c r="R27" s="261"/>
      <c r="S27" s="1059"/>
      <c r="T27" s="246"/>
      <c r="U27" s="246"/>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row>
    <row r="28" spans="1:60" ht="14.25" customHeight="1">
      <c r="Q28" s="167"/>
      <c r="R28" s="261"/>
      <c r="S28" s="208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88"/>
      <c r="U28" s="2088"/>
      <c r="V28" s="2088"/>
      <c r="W28" s="2088"/>
      <c r="X28" s="2088"/>
      <c r="Y28" s="2088"/>
      <c r="Z28" s="2088"/>
      <c r="AA28" s="2088"/>
      <c r="AB28" s="2088"/>
      <c r="AC28" s="2088"/>
      <c r="AD28" s="2088"/>
      <c r="AE28" s="2088"/>
      <c r="AF28" s="2088"/>
      <c r="AG28" s="2088"/>
      <c r="AH28" s="2088"/>
      <c r="AI28" s="2088"/>
      <c r="AJ28" s="2088"/>
      <c r="AK28" s="2088"/>
      <c r="AL28" s="2088"/>
      <c r="AM28" s="2088"/>
      <c r="AN28" s="2088"/>
      <c r="AO28" s="2088"/>
      <c r="AP28" s="2088"/>
      <c r="AQ28" s="2088"/>
      <c r="AR28" s="2088"/>
      <c r="AS28" s="2088"/>
      <c r="AT28" s="2088"/>
      <c r="AU28" s="2088"/>
      <c r="AV28" s="2088"/>
      <c r="AW28" s="2088"/>
      <c r="AX28" s="2088"/>
      <c r="AY28" s="2088"/>
      <c r="AZ28" s="2088"/>
      <c r="BA28" s="1019"/>
    </row>
    <row r="29" spans="1:60" ht="14.25" customHeight="1">
      <c r="Q29" s="167"/>
      <c r="R29" s="261"/>
      <c r="S29" s="2059" t="e">
        <f>IF(org=0,"Не определено",org)</f>
        <v>#REF!</v>
      </c>
      <c r="T29" s="2059"/>
      <c r="U29" s="2059"/>
      <c r="V29" s="2059"/>
      <c r="W29" s="2059"/>
      <c r="X29" s="2059"/>
      <c r="Y29" s="2059"/>
      <c r="Z29" s="2059"/>
      <c r="AA29" s="2059"/>
      <c r="AB29" s="2059"/>
      <c r="AC29" s="2059"/>
      <c r="AD29" s="2059"/>
      <c r="AE29" s="2059"/>
      <c r="AF29" s="2059"/>
      <c r="AG29" s="2059"/>
      <c r="AH29" s="2059"/>
      <c r="AI29" s="2059"/>
      <c r="AJ29" s="2059"/>
      <c r="AK29" s="2059"/>
      <c r="AL29" s="2059"/>
      <c r="AM29" s="2059"/>
      <c r="AN29" s="2059"/>
      <c r="AO29" s="2059"/>
      <c r="AP29" s="2059"/>
      <c r="AQ29" s="2059"/>
      <c r="AR29" s="2059"/>
      <c r="AS29" s="2059"/>
      <c r="AT29" s="2059"/>
      <c r="AU29" s="2059"/>
      <c r="AV29" s="2059"/>
      <c r="AW29" s="2059"/>
      <c r="AX29" s="2059"/>
      <c r="AY29" s="2059"/>
      <c r="AZ29" s="2059"/>
      <c r="BA29" s="1019"/>
    </row>
    <row r="30" spans="1:60" ht="14.25" hidden="1" customHeight="1">
      <c r="Q30" s="167"/>
      <c r="R30" s="261"/>
      <c r="S30" s="1059"/>
      <c r="T30" s="246"/>
      <c r="U30" s="246"/>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377"/>
    </row>
    <row r="31" spans="1:60" s="1692" customFormat="1" ht="25.5" hidden="1" customHeight="1">
      <c r="A31" s="1148"/>
      <c r="B31" s="1148"/>
      <c r="C31" s="1148"/>
      <c r="D31" s="1148"/>
      <c r="E31" s="1148"/>
      <c r="F31" s="1148"/>
      <c r="G31" s="1148"/>
      <c r="H31" s="1148"/>
      <c r="I31" s="1148"/>
      <c r="J31" s="1148"/>
      <c r="K31" s="1148"/>
      <c r="L31" s="1149"/>
      <c r="M31" s="1148"/>
      <c r="N31" s="1148"/>
      <c r="O31" s="1148"/>
      <c r="P31" s="1148"/>
      <c r="Q31" s="1148"/>
      <c r="S31" s="2101" t="s">
        <v>6</v>
      </c>
      <c r="T31" s="2101"/>
      <c r="U31" s="1152"/>
      <c r="V31" s="2103" t="e">
        <f>IF(TITLE_NAME_OR_PR_CHANGE="",IF(TITLE_NAME_OR_PR="","",TITLE_NAME_OR_PR),TITLE_NAME_OR_PR_CHANGE)</f>
        <v>#REF!</v>
      </c>
      <c r="W31" s="2103"/>
      <c r="X31" s="2103"/>
      <c r="Y31" s="2103"/>
      <c r="Z31" s="2103"/>
      <c r="AA31" s="2103"/>
      <c r="AB31" s="2103"/>
      <c r="AC31" s="209"/>
      <c r="AD31" s="2103" t="e">
        <f>IF(TITLE_NAME_OR_PR_CHANGE="",IF(TITLE_NAME_OR_PR="","",TITLE_NAME_OR_PR),TITLE_NAME_OR_PR_CHANGE)</f>
        <v>#REF!</v>
      </c>
      <c r="AE31" s="2103"/>
      <c r="AF31" s="2103"/>
      <c r="AG31" s="2103"/>
      <c r="AH31" s="2103"/>
      <c r="AI31" s="2103"/>
      <c r="AJ31" s="2103"/>
      <c r="AK31" s="2103"/>
      <c r="AL31" s="2103"/>
      <c r="AM31" s="2103"/>
      <c r="AN31" s="2103"/>
      <c r="AO31" s="2103"/>
      <c r="AP31" s="2103"/>
      <c r="AQ31" s="2103"/>
      <c r="AR31" s="2103"/>
      <c r="AS31" s="2103"/>
      <c r="AT31" s="2103"/>
      <c r="AU31" s="2103"/>
      <c r="AV31" s="2103"/>
      <c r="AW31" s="2103"/>
      <c r="AX31" s="2103"/>
      <c r="AY31" s="2103"/>
      <c r="AZ31" s="2103"/>
      <c r="BA31" s="209"/>
      <c r="BB31" s="209"/>
      <c r="BC31" s="157"/>
      <c r="BD31" s="252"/>
      <c r="BE31" s="252"/>
      <c r="BF31" s="252"/>
      <c r="BG31" s="252"/>
      <c r="BH31" s="252"/>
    </row>
    <row r="32" spans="1:60" s="1692" customFormat="1" ht="18.75" hidden="1" customHeight="1">
      <c r="A32" s="1148"/>
      <c r="B32" s="1148"/>
      <c r="C32" s="1148"/>
      <c r="D32" s="1148"/>
      <c r="E32" s="1148"/>
      <c r="F32" s="1148"/>
      <c r="G32" s="1148"/>
      <c r="H32" s="1148"/>
      <c r="I32" s="1148"/>
      <c r="J32" s="1148"/>
      <c r="K32" s="1148"/>
      <c r="L32" s="1149"/>
      <c r="M32" s="1148"/>
      <c r="N32" s="1148"/>
      <c r="O32" s="1148"/>
      <c r="P32" s="1148"/>
      <c r="Q32" s="1148"/>
      <c r="S32" s="2101" t="s">
        <v>349</v>
      </c>
      <c r="T32" s="2101"/>
      <c r="U32" s="1152"/>
      <c r="V32" s="2102" t="e">
        <f>IF(TITLE_DATE_PR_CHANGE="",IF(TITLE_DATE_PR="","",TITLE_DATE_PR),TITLE_DATE_PR_CHANGE)</f>
        <v>#REF!</v>
      </c>
      <c r="W32" s="2102"/>
      <c r="X32" s="2102"/>
      <c r="Y32" s="2102"/>
      <c r="Z32" s="2102"/>
      <c r="AA32" s="2102"/>
      <c r="AB32" s="2102"/>
      <c r="AC32" s="209"/>
      <c r="AD32" s="2102" t="e">
        <f>IF(TITLE_DATE_PR_CHANGE="",IF(TITLE_DATE_PR="","",TITLE_DATE_PR),TITLE_DATE_PR_CHANGE)</f>
        <v>#REF!</v>
      </c>
      <c r="AE32" s="2102"/>
      <c r="AF32" s="2102"/>
      <c r="AG32" s="2102"/>
      <c r="AH32" s="2102"/>
      <c r="AI32" s="2102"/>
      <c r="AJ32" s="2102"/>
      <c r="AK32" s="2102"/>
      <c r="AL32" s="2102"/>
      <c r="AM32" s="2102"/>
      <c r="AN32" s="2102"/>
      <c r="AO32" s="2102"/>
      <c r="AP32" s="2102"/>
      <c r="AQ32" s="2102"/>
      <c r="AR32" s="2102"/>
      <c r="AS32" s="2102"/>
      <c r="AT32" s="2102"/>
      <c r="AU32" s="2102"/>
      <c r="AV32" s="2102"/>
      <c r="AW32" s="2102"/>
      <c r="AX32" s="2102"/>
      <c r="AY32" s="2102"/>
      <c r="AZ32" s="2102"/>
      <c r="BA32" s="209"/>
      <c r="BB32" s="209"/>
      <c r="BC32" s="157"/>
      <c r="BD32" s="252"/>
      <c r="BE32" s="252"/>
      <c r="BF32" s="252"/>
      <c r="BG32" s="252"/>
      <c r="BH32" s="252"/>
    </row>
    <row r="33" spans="1:60" s="1692" customFormat="1" ht="18.75" hidden="1" customHeight="1">
      <c r="A33" s="1148"/>
      <c r="B33" s="1148"/>
      <c r="C33" s="1148"/>
      <c r="D33" s="1148"/>
      <c r="E33" s="1148"/>
      <c r="F33" s="1148"/>
      <c r="G33" s="1148"/>
      <c r="H33" s="1148"/>
      <c r="I33" s="1148"/>
      <c r="J33" s="1148"/>
      <c r="K33" s="1148"/>
      <c r="L33" s="1149"/>
      <c r="M33" s="1148"/>
      <c r="N33" s="1148"/>
      <c r="O33" s="1148"/>
      <c r="P33" s="1148"/>
      <c r="Q33" s="1148"/>
      <c r="S33" s="2101" t="s">
        <v>350</v>
      </c>
      <c r="T33" s="2101"/>
      <c r="U33" s="1152"/>
      <c r="V33" s="2103" t="e">
        <f>IF(TITLE_NUMBER_PR_CHANGE="",IF(TITLE_NUMBER_PR="","",TITLE_NUMBER_PR),TITLE_NUMBER_PR_CHANGE)</f>
        <v>#REF!</v>
      </c>
      <c r="W33" s="2103"/>
      <c r="X33" s="2103"/>
      <c r="Y33" s="2103"/>
      <c r="Z33" s="2103"/>
      <c r="AA33" s="2103"/>
      <c r="AB33" s="2103"/>
      <c r="AC33" s="209"/>
      <c r="AD33" s="2103" t="e">
        <f>IF(TITLE_NUMBER_PR_CHANGE="",IF(TITLE_NUMBER_PR="","",TITLE_NUMBER_PR),TITLE_NUMBER_PR_CHANGE)</f>
        <v>#REF!</v>
      </c>
      <c r="AE33" s="2103"/>
      <c r="AF33" s="2103"/>
      <c r="AG33" s="2103"/>
      <c r="AH33" s="2103"/>
      <c r="AI33" s="2103"/>
      <c r="AJ33" s="2103"/>
      <c r="AK33" s="2103"/>
      <c r="AL33" s="2103"/>
      <c r="AM33" s="2103"/>
      <c r="AN33" s="2103"/>
      <c r="AO33" s="2103"/>
      <c r="AP33" s="2103"/>
      <c r="AQ33" s="2103"/>
      <c r="AR33" s="2103"/>
      <c r="AS33" s="2103"/>
      <c r="AT33" s="2103"/>
      <c r="AU33" s="2103"/>
      <c r="AV33" s="2103"/>
      <c r="AW33" s="2103"/>
      <c r="AX33" s="2103"/>
      <c r="AY33" s="2103"/>
      <c r="AZ33" s="2103"/>
      <c r="BA33" s="209"/>
      <c r="BB33" s="209"/>
      <c r="BC33" s="157"/>
      <c r="BD33" s="252"/>
      <c r="BE33" s="252"/>
      <c r="BF33" s="252"/>
      <c r="BG33" s="252"/>
      <c r="BH33" s="252"/>
    </row>
    <row r="34" spans="1:60" s="1692" customFormat="1" ht="18.75" hidden="1" customHeight="1">
      <c r="A34" s="1148"/>
      <c r="B34" s="1148"/>
      <c r="C34" s="1148"/>
      <c r="D34" s="1148"/>
      <c r="E34" s="1148"/>
      <c r="F34" s="1148"/>
      <c r="G34" s="1148"/>
      <c r="H34" s="1148"/>
      <c r="I34" s="1148"/>
      <c r="J34" s="1148"/>
      <c r="K34" s="1148"/>
      <c r="L34" s="1149"/>
      <c r="M34" s="1148"/>
      <c r="N34" s="1148"/>
      <c r="O34" s="1148"/>
      <c r="P34" s="1148"/>
      <c r="Q34" s="1148"/>
      <c r="S34" s="2101" t="s">
        <v>7</v>
      </c>
      <c r="T34" s="2101"/>
      <c r="U34" s="1152"/>
      <c r="V34" s="2103" t="e">
        <f>IF(TITLE_IST_PUB_CHANGE="",IF(TITLE_IST_PUB="","",TITLE_IST_PUB),TITLE_IST_PUB_CHANGE)</f>
        <v>#REF!</v>
      </c>
      <c r="W34" s="2103"/>
      <c r="X34" s="2103"/>
      <c r="Y34" s="2103"/>
      <c r="Z34" s="2103"/>
      <c r="AA34" s="2103"/>
      <c r="AB34" s="2103"/>
      <c r="AC34" s="209"/>
      <c r="AD34" s="2103" t="e">
        <f>IF(TITLE_IST_PUB_CHANGE="",IF(TITLE_IST_PUB="","",TITLE_IST_PUB),TITLE_IST_PUB_CHANGE)</f>
        <v>#REF!</v>
      </c>
      <c r="AE34" s="2103"/>
      <c r="AF34" s="2103"/>
      <c r="AG34" s="2103"/>
      <c r="AH34" s="2103"/>
      <c r="AI34" s="2103"/>
      <c r="AJ34" s="2103"/>
      <c r="AK34" s="2103"/>
      <c r="AL34" s="2103"/>
      <c r="AM34" s="2103"/>
      <c r="AN34" s="2103"/>
      <c r="AO34" s="2103"/>
      <c r="AP34" s="2103"/>
      <c r="AQ34" s="2103"/>
      <c r="AR34" s="2103"/>
      <c r="AS34" s="2103"/>
      <c r="AT34" s="2103"/>
      <c r="AU34" s="2103"/>
      <c r="AV34" s="2103"/>
      <c r="AW34" s="2103"/>
      <c r="AX34" s="2103"/>
      <c r="AY34" s="2103"/>
      <c r="AZ34" s="2103"/>
      <c r="BA34" s="209"/>
      <c r="BB34" s="209"/>
      <c r="BC34" s="157"/>
      <c r="BD34" s="252"/>
      <c r="BE34" s="252"/>
      <c r="BF34" s="252"/>
      <c r="BG34" s="252"/>
      <c r="BH34" s="252"/>
    </row>
    <row r="35" spans="1:60" ht="14.25" hidden="1" customHeight="1">
      <c r="Q35" s="167"/>
      <c r="R35" s="261"/>
      <c r="S35" s="1059"/>
      <c r="T35" s="246"/>
      <c r="U35" s="246"/>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377"/>
    </row>
    <row r="36" spans="1:60" s="1692" customFormat="1" ht="18.75" hidden="1" customHeight="1">
      <c r="A36" s="1148"/>
      <c r="B36" s="1148"/>
      <c r="C36" s="1148"/>
      <c r="D36" s="1148"/>
      <c r="E36" s="1148"/>
      <c r="F36" s="1148"/>
      <c r="G36" s="1148"/>
      <c r="H36" s="1148"/>
      <c r="I36" s="1148"/>
      <c r="J36" s="1148"/>
      <c r="K36" s="1148"/>
      <c r="L36" s="1149"/>
      <c r="M36" s="1148"/>
      <c r="N36" s="1148"/>
      <c r="O36" s="1148"/>
      <c r="P36" s="1148"/>
      <c r="Q36" s="1148"/>
      <c r="S36" s="2101" t="s">
        <v>349</v>
      </c>
      <c r="T36" s="2101"/>
      <c r="U36" s="1152"/>
      <c r="V36" s="2102" t="e">
        <f>IF(TITLE_DATE_PR_CHANGE="",IF(TITLE_DATE_PR="","",TITLE_DATE_PR),TITLE_DATE_PR_CHANGE)</f>
        <v>#REF!</v>
      </c>
      <c r="W36" s="2102"/>
      <c r="X36" s="2102"/>
      <c r="Y36" s="2102"/>
      <c r="Z36" s="2102"/>
      <c r="AA36" s="2102"/>
      <c r="AB36" s="2102"/>
      <c r="AC36" s="209"/>
      <c r="AD36" s="2102" t="e">
        <f>IF(TITLE_DATE_PR_CHANGE="",IF(TITLE_DATE_PR="","",TITLE_DATE_PR),TITLE_DATE_PR_CHANGE)</f>
        <v>#REF!</v>
      </c>
      <c r="AE36" s="2102"/>
      <c r="AF36" s="2102"/>
      <c r="AG36" s="2102"/>
      <c r="AH36" s="2102"/>
      <c r="AI36" s="2102"/>
      <c r="AJ36" s="2102"/>
      <c r="AK36" s="2102"/>
      <c r="AL36" s="2102"/>
      <c r="AM36" s="2102"/>
      <c r="AN36" s="2102"/>
      <c r="AO36" s="2102"/>
      <c r="AP36" s="2102"/>
      <c r="AQ36" s="2102"/>
      <c r="AR36" s="2102"/>
      <c r="AS36" s="2102"/>
      <c r="AT36" s="2102"/>
      <c r="AU36" s="2102"/>
      <c r="AV36" s="2102"/>
      <c r="AW36" s="2102"/>
      <c r="AX36" s="2102"/>
      <c r="AY36" s="2102"/>
      <c r="AZ36" s="2102"/>
      <c r="BA36" s="209"/>
      <c r="BB36" s="209"/>
      <c r="BC36" s="157"/>
      <c r="BD36" s="252"/>
      <c r="BE36" s="252"/>
      <c r="BF36" s="252"/>
      <c r="BG36" s="252"/>
      <c r="BH36" s="252"/>
    </row>
    <row r="37" spans="1:60" s="1692" customFormat="1" ht="18.75" hidden="1" customHeight="1">
      <c r="A37" s="1148"/>
      <c r="B37" s="1148"/>
      <c r="C37" s="1148"/>
      <c r="D37" s="1148"/>
      <c r="E37" s="1148"/>
      <c r="F37" s="1148"/>
      <c r="G37" s="1148"/>
      <c r="H37" s="1148"/>
      <c r="I37" s="1148"/>
      <c r="J37" s="1148"/>
      <c r="K37" s="1148"/>
      <c r="L37" s="1149"/>
      <c r="M37" s="1148"/>
      <c r="N37" s="1148"/>
      <c r="O37" s="1148"/>
      <c r="P37" s="1148"/>
      <c r="Q37" s="1148"/>
      <c r="S37" s="2101" t="s">
        <v>350</v>
      </c>
      <c r="T37" s="2101"/>
      <c r="U37" s="1152"/>
      <c r="V37" s="2103" t="e">
        <f>IF(TITLE_NUMBER_PR_CHANGE="",IF(TITLE_NUMBER_PR="","",TITLE_NUMBER_PR),TITLE_NUMBER_PR_CHANGE)</f>
        <v>#REF!</v>
      </c>
      <c r="W37" s="2103"/>
      <c r="X37" s="2103"/>
      <c r="Y37" s="2103"/>
      <c r="Z37" s="2103"/>
      <c r="AA37" s="2103"/>
      <c r="AB37" s="2103"/>
      <c r="AC37" s="209"/>
      <c r="AD37" s="2103" t="e">
        <f>IF(TITLE_NUMBER_PR_CHANGE="",IF(TITLE_NUMBER_PR="","",TITLE_NUMBER_PR),TITLE_NUMBER_PR_CHANGE)</f>
        <v>#REF!</v>
      </c>
      <c r="AE37" s="2103"/>
      <c r="AF37" s="2103"/>
      <c r="AG37" s="2103"/>
      <c r="AH37" s="2103"/>
      <c r="AI37" s="2103"/>
      <c r="AJ37" s="2103"/>
      <c r="AK37" s="2103"/>
      <c r="AL37" s="2103"/>
      <c r="AM37" s="2103"/>
      <c r="AN37" s="2103"/>
      <c r="AO37" s="2103"/>
      <c r="AP37" s="2103"/>
      <c r="AQ37" s="2103"/>
      <c r="AR37" s="2103"/>
      <c r="AS37" s="2103"/>
      <c r="AT37" s="2103"/>
      <c r="AU37" s="2103"/>
      <c r="AV37" s="2103"/>
      <c r="AW37" s="2103"/>
      <c r="AX37" s="2103"/>
      <c r="AY37" s="2103"/>
      <c r="AZ37" s="2103"/>
      <c r="BA37" s="209"/>
      <c r="BB37" s="209"/>
      <c r="BC37" s="157"/>
      <c r="BD37" s="252"/>
      <c r="BE37" s="252"/>
      <c r="BF37" s="252"/>
      <c r="BG37" s="252"/>
      <c r="BH37" s="252"/>
    </row>
    <row r="38" spans="1:60" s="1692" customFormat="1" ht="0" hidden="1" customHeight="1">
      <c r="A38" s="1148"/>
      <c r="B38" s="1148"/>
      <c r="C38" s="1148"/>
      <c r="D38" s="1148"/>
      <c r="E38" s="1148"/>
      <c r="F38" s="1148"/>
      <c r="G38" s="1148"/>
      <c r="H38" s="1148"/>
      <c r="I38" s="1148"/>
      <c r="J38" s="1148"/>
      <c r="K38" s="1148"/>
      <c r="L38" s="1149"/>
      <c r="M38" s="1148"/>
      <c r="N38" s="1148"/>
      <c r="O38" s="1148"/>
      <c r="P38" s="1148"/>
      <c r="Q38" s="1148"/>
      <c r="S38" s="205"/>
      <c r="T38" s="205"/>
      <c r="U38" s="1258"/>
      <c r="V38" s="209"/>
      <c r="W38" s="209"/>
      <c r="X38" s="209"/>
      <c r="Y38" s="209"/>
      <c r="Z38" s="209"/>
      <c r="AA38" s="209"/>
      <c r="AB38" s="209"/>
      <c r="AC38" s="155" t="s">
        <v>353</v>
      </c>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155" t="s">
        <v>353</v>
      </c>
      <c r="BD38" s="252"/>
      <c r="BE38" s="252"/>
      <c r="BF38" s="252"/>
      <c r="BG38" s="252"/>
      <c r="BH38" s="252"/>
    </row>
    <row r="39" spans="1:60" ht="14.25" customHeight="1">
      <c r="Q39" s="167"/>
      <c r="R39" s="261"/>
      <c r="S39" s="1059"/>
      <c r="T39" s="246"/>
      <c r="U39" s="1020"/>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r="40" spans="1:60" ht="14.25" customHeight="1">
      <c r="Q40" s="167"/>
      <c r="R40" s="261"/>
      <c r="S40" s="2025" t="s">
        <v>224</v>
      </c>
      <c r="T40" s="2025"/>
      <c r="U40" s="2025"/>
      <c r="V40" s="2025"/>
      <c r="W40" s="2025"/>
      <c r="X40" s="2025"/>
      <c r="Y40" s="2025"/>
      <c r="Z40" s="2025"/>
      <c r="AA40" s="2025"/>
      <c r="AB40" s="2025"/>
      <c r="AC40" s="2025"/>
      <c r="AD40" s="2025"/>
      <c r="AE40" s="2025"/>
      <c r="AF40" s="2025"/>
      <c r="AG40" s="2025"/>
      <c r="AH40" s="2025"/>
      <c r="AI40" s="2025"/>
      <c r="AJ40" s="2025"/>
      <c r="AK40" s="2025"/>
      <c r="AL40" s="2025"/>
      <c r="AM40" s="2025"/>
      <c r="AN40" s="2025"/>
      <c r="AO40" s="2025"/>
      <c r="AP40" s="2025"/>
      <c r="AQ40" s="2025"/>
      <c r="AR40" s="2025"/>
      <c r="AS40" s="2025"/>
      <c r="AT40" s="2025"/>
      <c r="AU40" s="2025"/>
      <c r="AV40" s="2025"/>
      <c r="AW40" s="2025"/>
      <c r="AX40" s="2025"/>
      <c r="AY40" s="2025"/>
      <c r="AZ40" s="2025"/>
      <c r="BA40" s="2025"/>
      <c r="BB40" s="2025"/>
      <c r="BC40" s="2025" t="s">
        <v>225</v>
      </c>
    </row>
    <row r="41" spans="1:60" ht="14.25" customHeight="1">
      <c r="Q41" s="167"/>
      <c r="R41" s="261"/>
      <c r="S41" s="2124" t="s">
        <v>22</v>
      </c>
      <c r="T41" s="2068" t="s">
        <v>431</v>
      </c>
      <c r="U41" s="176"/>
      <c r="V41" s="2125" t="s">
        <v>355</v>
      </c>
      <c r="W41" s="2126"/>
      <c r="X41" s="2126"/>
      <c r="Y41" s="2126"/>
      <c r="Z41" s="2126"/>
      <c r="AA41" s="2126"/>
      <c r="AB41" s="2127"/>
      <c r="AC41" s="2128" t="s">
        <v>356</v>
      </c>
      <c r="AD41" s="2150" t="s">
        <v>448</v>
      </c>
      <c r="AE41" s="2139"/>
      <c r="AF41" s="2139"/>
      <c r="AG41" s="2151"/>
      <c r="AH41" s="2150" t="s">
        <v>449</v>
      </c>
      <c r="AI41" s="2139"/>
      <c r="AJ41" s="2139"/>
      <c r="AK41" s="2151"/>
      <c r="AL41" s="2150" t="s">
        <v>450</v>
      </c>
      <c r="AM41" s="2139"/>
      <c r="AN41" s="2139"/>
      <c r="AO41" s="2151"/>
      <c r="AP41" s="2150" t="s">
        <v>435</v>
      </c>
      <c r="AQ41" s="2139"/>
      <c r="AR41" s="2139"/>
      <c r="AS41" s="2151"/>
      <c r="AT41" s="2125" t="s">
        <v>355</v>
      </c>
      <c r="AU41" s="2126"/>
      <c r="AV41" s="2126"/>
      <c r="AW41" s="2126"/>
      <c r="AX41" s="2126"/>
      <c r="AY41" s="2126"/>
      <c r="AZ41" s="2127"/>
      <c r="BA41" s="2128" t="s">
        <v>356</v>
      </c>
      <c r="BB41" s="2131" t="s">
        <v>358</v>
      </c>
      <c r="BC41" s="2025"/>
    </row>
    <row r="42" spans="1:60" ht="33.75" customHeight="1">
      <c r="Q42" s="167"/>
      <c r="R42" s="261"/>
      <c r="S42" s="2124"/>
      <c r="T42" s="2068"/>
      <c r="U42" s="814"/>
      <c r="V42" s="2037" t="s">
        <v>436</v>
      </c>
      <c r="W42" s="2038"/>
      <c r="X42" s="2037" t="s">
        <v>437</v>
      </c>
      <c r="Y42" s="2038"/>
      <c r="Z42" s="2037" t="s">
        <v>438</v>
      </c>
      <c r="AA42" s="2144"/>
      <c r="AB42" s="2038"/>
      <c r="AC42" s="2129"/>
      <c r="AD42" s="2152"/>
      <c r="AE42" s="2153"/>
      <c r="AF42" s="2153"/>
      <c r="AG42" s="2165"/>
      <c r="AH42" s="2152"/>
      <c r="AI42" s="2153"/>
      <c r="AJ42" s="2153"/>
      <c r="AK42" s="2165"/>
      <c r="AL42" s="2152"/>
      <c r="AM42" s="2153"/>
      <c r="AN42" s="2153"/>
      <c r="AO42" s="2165"/>
      <c r="AP42" s="2152"/>
      <c r="AQ42" s="2153"/>
      <c r="AR42" s="2153"/>
      <c r="AS42" s="2165"/>
      <c r="AT42" s="2037" t="s">
        <v>451</v>
      </c>
      <c r="AU42" s="2038"/>
      <c r="AV42" s="2037" t="s">
        <v>452</v>
      </c>
      <c r="AW42" s="2038"/>
      <c r="AX42" s="2037" t="s">
        <v>438</v>
      </c>
      <c r="AY42" s="2144"/>
      <c r="AZ42" s="2038"/>
      <c r="BA42" s="2129"/>
      <c r="BB42" s="2132"/>
      <c r="BC42" s="2025"/>
    </row>
    <row r="43" spans="1:60" ht="14.25" customHeight="1">
      <c r="Q43" s="167"/>
      <c r="R43" s="261"/>
      <c r="S43" s="2124"/>
      <c r="T43" s="2068"/>
      <c r="U43" s="814"/>
      <c r="V43" s="2042"/>
      <c r="W43" s="2043"/>
      <c r="X43" s="2042"/>
      <c r="Y43" s="2043"/>
      <c r="Z43" s="2042"/>
      <c r="AA43" s="2145"/>
      <c r="AB43" s="2043"/>
      <c r="AC43" s="2129"/>
      <c r="AD43" s="2152"/>
      <c r="AE43" s="2153"/>
      <c r="AF43" s="2153"/>
      <c r="AG43" s="2165"/>
      <c r="AH43" s="2152"/>
      <c r="AI43" s="2153"/>
      <c r="AJ43" s="2153"/>
      <c r="AK43" s="2165"/>
      <c r="AL43" s="2152"/>
      <c r="AM43" s="2153"/>
      <c r="AN43" s="2153"/>
      <c r="AO43" s="2165"/>
      <c r="AP43" s="2152"/>
      <c r="AQ43" s="2153"/>
      <c r="AR43" s="2153"/>
      <c r="AS43" s="2165"/>
      <c r="AT43" s="2042"/>
      <c r="AU43" s="2043"/>
      <c r="AV43" s="2042"/>
      <c r="AW43" s="2043"/>
      <c r="AX43" s="2042"/>
      <c r="AY43" s="2145"/>
      <c r="AZ43" s="2043"/>
      <c r="BA43" s="2129"/>
      <c r="BB43" s="2132"/>
      <c r="BC43" s="2025"/>
    </row>
    <row r="44" spans="1:60" ht="14.25" customHeight="1">
      <c r="A44" s="1150"/>
      <c r="B44" s="1150" t="s">
        <v>73</v>
      </c>
      <c r="C44" s="1150" t="s">
        <v>74</v>
      </c>
      <c r="D44" s="1150" t="s">
        <v>75</v>
      </c>
      <c r="E44" s="1144" t="s">
        <v>363</v>
      </c>
      <c r="F44" s="1144" t="s">
        <v>364</v>
      </c>
      <c r="G44" s="1144" t="s">
        <v>365</v>
      </c>
      <c r="H44" s="1144" t="s">
        <v>366</v>
      </c>
      <c r="I44" s="1144" t="s">
        <v>367</v>
      </c>
      <c r="J44" s="1144" t="s">
        <v>368</v>
      </c>
      <c r="K44" s="1144" t="s">
        <v>369</v>
      </c>
      <c r="L44" s="1144" t="s">
        <v>344</v>
      </c>
      <c r="Q44" s="167"/>
      <c r="R44" s="261"/>
      <c r="S44" s="2124"/>
      <c r="T44" s="2068"/>
      <c r="U44" s="177"/>
      <c r="V44" s="1249" t="s">
        <v>404</v>
      </c>
      <c r="W44" s="1249" t="s">
        <v>405</v>
      </c>
      <c r="X44" s="1249" t="s">
        <v>404</v>
      </c>
      <c r="Y44" s="1249" t="s">
        <v>405</v>
      </c>
      <c r="Z44" s="1259" t="s">
        <v>372</v>
      </c>
      <c r="AA44" s="2073" t="s">
        <v>373</v>
      </c>
      <c r="AB44" s="2087"/>
      <c r="AC44" s="2130"/>
      <c r="AD44" s="2154"/>
      <c r="AE44" s="2155"/>
      <c r="AF44" s="2155"/>
      <c r="AG44" s="2156"/>
      <c r="AH44" s="2154"/>
      <c r="AI44" s="2155"/>
      <c r="AJ44" s="2155"/>
      <c r="AK44" s="2156"/>
      <c r="AL44" s="2154"/>
      <c r="AM44" s="2155"/>
      <c r="AN44" s="2155"/>
      <c r="AO44" s="2156"/>
      <c r="AP44" s="2154"/>
      <c r="AQ44" s="2155"/>
      <c r="AR44" s="2155"/>
      <c r="AS44" s="2156"/>
      <c r="AT44" s="1249" t="s">
        <v>404</v>
      </c>
      <c r="AU44" s="1249" t="s">
        <v>405</v>
      </c>
      <c r="AV44" s="1249" t="s">
        <v>404</v>
      </c>
      <c r="AW44" s="1249" t="s">
        <v>405</v>
      </c>
      <c r="AX44" s="1259" t="s">
        <v>372</v>
      </c>
      <c r="AY44" s="2073" t="s">
        <v>373</v>
      </c>
      <c r="AZ44" s="2087"/>
      <c r="BA44" s="2130"/>
      <c r="BB44" s="2133"/>
      <c r="BC44" s="2025"/>
    </row>
    <row r="45" spans="1:60" s="1621" customFormat="1" ht="11.25" hidden="1" customHeight="1">
      <c r="A45" s="1150"/>
      <c r="B45" s="1150"/>
      <c r="C45" s="1150"/>
      <c r="D45" s="1150"/>
      <c r="E45" s="1150"/>
      <c r="F45" s="1150"/>
      <c r="G45" s="1150"/>
      <c r="H45" s="1150"/>
      <c r="I45" s="1150"/>
      <c r="J45" s="1150"/>
      <c r="K45" s="1150"/>
      <c r="L45" s="1144"/>
      <c r="M45" s="1142"/>
      <c r="N45" s="1142"/>
      <c r="O45" s="1142"/>
      <c r="P45" s="378"/>
      <c r="Q45" s="1038"/>
      <c r="R45" s="1038">
        <v>1</v>
      </c>
      <c r="S45" s="1061" t="s">
        <v>43</v>
      </c>
      <c r="T45" s="1039" t="s">
        <v>44</v>
      </c>
      <c r="U45" s="1021" t="str">
        <f ca="1">OFFSET(U45,0,-1)</f>
        <v>2</v>
      </c>
      <c r="V45" s="1252">
        <f t="shared" ref="V45:AA45" ca="1" si="2">OFFSET(V45,0,-1)+1</f>
        <v>3</v>
      </c>
      <c r="W45" s="1252">
        <f t="shared" ca="1" si="2"/>
        <v>4</v>
      </c>
      <c r="X45" s="1252">
        <f t="shared" ca="1" si="2"/>
        <v>5</v>
      </c>
      <c r="Y45" s="1252">
        <f t="shared" ca="1" si="2"/>
        <v>6</v>
      </c>
      <c r="Z45" s="1252">
        <f t="shared" ca="1" si="2"/>
        <v>7</v>
      </c>
      <c r="AA45" s="2122">
        <f t="shared" ca="1" si="2"/>
        <v>8</v>
      </c>
      <c r="AB45" s="2122"/>
      <c r="AC45" s="1252">
        <f ca="1">OFFSET(AC45,0,-2)+1</f>
        <v>9</v>
      </c>
      <c r="AD45" s="1252">
        <f ca="1">OFFSET(AD45,0,-1)+1</f>
        <v>10</v>
      </c>
      <c r="AE45" s="1252"/>
      <c r="AF45" s="1252"/>
      <c r="AG45" s="1252"/>
      <c r="AH45" s="1252"/>
      <c r="AI45" s="1252"/>
      <c r="AJ45" s="1252"/>
      <c r="AK45" s="1252"/>
      <c r="AL45" s="1252"/>
      <c r="AM45" s="1252"/>
      <c r="AN45" s="1252"/>
      <c r="AO45" s="1252"/>
      <c r="AP45" s="1252"/>
      <c r="AQ45" s="1252"/>
      <c r="AR45" s="1252"/>
      <c r="AS45" s="1252"/>
      <c r="AT45" s="1252"/>
      <c r="AU45" s="1252"/>
      <c r="AV45" s="1252"/>
      <c r="AW45" s="1252">
        <f ca="1">OFFSET(AW45,0,-1)+1</f>
        <v>1</v>
      </c>
      <c r="AX45" s="1252">
        <f ca="1">OFFSET(AX45,0,-1)+1</f>
        <v>2</v>
      </c>
      <c r="AY45" s="2122">
        <f ca="1">OFFSET(AY45,0,-1)+1</f>
        <v>3</v>
      </c>
      <c r="AZ45" s="2122"/>
      <c r="BA45" s="1252">
        <f ca="1">OFFSET(BA45,0,-2)+1</f>
        <v>4</v>
      </c>
      <c r="BB45" s="1021">
        <f ca="1">OFFSET(BB45,0,-1)</f>
        <v>4</v>
      </c>
      <c r="BC45" s="1252">
        <f ca="1">OFFSET(BC45,0,-1)+1</f>
        <v>5</v>
      </c>
      <c r="BD45" s="379"/>
      <c r="BE45" s="379"/>
      <c r="BF45" s="379"/>
      <c r="BG45" s="379"/>
      <c r="BH45" s="379"/>
    </row>
    <row r="46" spans="1:60" ht="21" customHeight="1">
      <c r="A46" s="1143" t="s">
        <v>200</v>
      </c>
      <c r="B46" s="1143"/>
      <c r="C46" s="1143"/>
      <c r="D46" s="1143"/>
      <c r="E46" s="2111">
        <v>1</v>
      </c>
      <c r="F46" s="1143"/>
      <c r="G46" s="1143"/>
      <c r="H46" s="1143"/>
      <c r="I46" s="1143"/>
      <c r="J46" s="1143"/>
      <c r="K46" s="1143"/>
      <c r="L46" s="1144"/>
      <c r="M46" s="1145"/>
      <c r="N46" s="1145"/>
      <c r="O46" s="1145"/>
      <c r="P46" s="1189"/>
      <c r="Q46" s="669"/>
      <c r="R46" s="236"/>
      <c r="S46" s="1263">
        <f>INDEX(PT_DIFFERENTIATION_NUM_NTAR,MATCH(A46,PT_DIFFERENTIATION_NTAR_ID,0))</f>
        <v>0</v>
      </c>
      <c r="T46" s="173" t="s">
        <v>61</v>
      </c>
      <c r="U46" s="175"/>
      <c r="V46" s="2105"/>
      <c r="W46" s="2105"/>
      <c r="X46" s="2105"/>
      <c r="Y46" s="2105"/>
      <c r="Z46" s="2105"/>
      <c r="AA46" s="2105"/>
      <c r="AB46" s="2105"/>
      <c r="AC46" s="2106"/>
      <c r="AD46" s="2104" t="str">
        <f>INDEX(PT_DIFFERENTIATION_NTAR,MATCH(A46,PT_DIFFERENTIATION_NTAR_ID,0))</f>
        <v/>
      </c>
      <c r="AE46" s="2105"/>
      <c r="AF46" s="2105"/>
      <c r="AG46" s="2105"/>
      <c r="AH46" s="2105"/>
      <c r="AI46" s="2105"/>
      <c r="AJ46" s="2105"/>
      <c r="AK46" s="2105"/>
      <c r="AL46" s="2105"/>
      <c r="AM46" s="2105"/>
      <c r="AN46" s="2105"/>
      <c r="AO46" s="2105"/>
      <c r="AP46" s="2105"/>
      <c r="AQ46" s="2105"/>
      <c r="AR46" s="2105"/>
      <c r="AS46" s="2105"/>
      <c r="AT46" s="2105"/>
      <c r="AU46" s="2105"/>
      <c r="AV46" s="2105"/>
      <c r="AW46" s="2105"/>
      <c r="AX46" s="2105"/>
      <c r="AY46" s="2105"/>
      <c r="AZ46" s="2105"/>
      <c r="BA46" s="2105"/>
      <c r="BB46" s="2106"/>
      <c r="BC46"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68"/>
      <c r="BF46" s="368" t="str">
        <f t="shared" ref="BF46:BF52" si="3">IF(T46="","",T46)</f>
        <v>Наименование тарифа</v>
      </c>
      <c r="BG46" s="368"/>
      <c r="BH46" s="368"/>
    </row>
    <row r="47" spans="1:60" ht="21" customHeight="1">
      <c r="A47" s="1143" t="s">
        <v>200</v>
      </c>
      <c r="B47" s="1143" t="s">
        <v>201</v>
      </c>
      <c r="C47" s="1143"/>
      <c r="D47" s="1143"/>
      <c r="E47" s="2112"/>
      <c r="F47" s="2111">
        <v>1</v>
      </c>
      <c r="G47" s="1143"/>
      <c r="H47" s="1143"/>
      <c r="I47" s="1143"/>
      <c r="J47" s="1143"/>
      <c r="K47" s="1143"/>
      <c r="L47" s="1144"/>
      <c r="M47" s="1145"/>
      <c r="N47" s="1145"/>
      <c r="O47" s="1145"/>
      <c r="P47" s="1190"/>
      <c r="Q47" s="1191"/>
      <c r="R47" s="234"/>
      <c r="S47" s="1263" t="str">
        <f>INDEX(PT_DIFFERENTIATION_NUM_TER,MATCH(B47,PT_DIFFERENTIATION_TER_ID,0))</f>
        <v>.</v>
      </c>
      <c r="T47" s="185" t="s">
        <v>323</v>
      </c>
      <c r="U47" s="175"/>
      <c r="V47" s="2105"/>
      <c r="W47" s="2105"/>
      <c r="X47" s="2105"/>
      <c r="Y47" s="2105"/>
      <c r="Z47" s="2105"/>
      <c r="AA47" s="2105"/>
      <c r="AB47" s="2105"/>
      <c r="AC47" s="2106"/>
      <c r="AD47" s="2104" t="str">
        <f>INDEX(PT_DIFFERENTIATION_TER,MATCH(B47,PT_DIFFERENTIATION_TER_ID,0))</f>
        <v/>
      </c>
      <c r="AE47" s="2105"/>
      <c r="AF47" s="2105"/>
      <c r="AG47" s="2105"/>
      <c r="AH47" s="2105"/>
      <c r="AI47" s="2105"/>
      <c r="AJ47" s="2105"/>
      <c r="AK47" s="2105"/>
      <c r="AL47" s="2105"/>
      <c r="AM47" s="2105"/>
      <c r="AN47" s="2105"/>
      <c r="AO47" s="2105"/>
      <c r="AP47" s="2105"/>
      <c r="AQ47" s="2105"/>
      <c r="AR47" s="2105"/>
      <c r="AS47" s="2105"/>
      <c r="AT47" s="2105"/>
      <c r="AU47" s="2105"/>
      <c r="AV47" s="2105"/>
      <c r="AW47" s="2105"/>
      <c r="AX47" s="2105"/>
      <c r="AY47" s="2105"/>
      <c r="AZ47" s="2105"/>
      <c r="BA47" s="2105"/>
      <c r="BB47" s="2106"/>
      <c r="BC47" s="1044" t="s">
        <v>324</v>
      </c>
      <c r="BE47" s="368"/>
      <c r="BF47" s="368" t="str">
        <f t="shared" si="3"/>
        <v>Территория действия тарифа</v>
      </c>
      <c r="BG47" s="368"/>
      <c r="BH47" s="368"/>
    </row>
    <row r="48" spans="1:60" ht="33.75" customHeight="1">
      <c r="A48" s="1143" t="s">
        <v>200</v>
      </c>
      <c r="B48" s="1143" t="s">
        <v>201</v>
      </c>
      <c r="C48" s="1143" t="s">
        <v>202</v>
      </c>
      <c r="D48" s="1143"/>
      <c r="E48" s="2112"/>
      <c r="F48" s="2112"/>
      <c r="G48" s="2111">
        <v>1</v>
      </c>
      <c r="H48" s="1143"/>
      <c r="I48" s="1143"/>
      <c r="J48" s="1143"/>
      <c r="K48" s="1143"/>
      <c r="L48" s="1144"/>
      <c r="M48" s="1145"/>
      <c r="N48" s="1145"/>
      <c r="O48" s="1145"/>
      <c r="P48" s="1192"/>
      <c r="Q48" s="1191"/>
      <c r="R48" s="234"/>
      <c r="S48" s="1263" t="str">
        <f>INDEX(PT_DIFFERENTIATION_NUM_CS,MATCH(C48,PT_DIFFERENTIATION_CS_ID,0))</f>
        <v>..</v>
      </c>
      <c r="T48" s="186" t="s">
        <v>440</v>
      </c>
      <c r="U48" s="175"/>
      <c r="V48" s="2105"/>
      <c r="W48" s="2105"/>
      <c r="X48" s="2105"/>
      <c r="Y48" s="2105"/>
      <c r="Z48" s="2105"/>
      <c r="AA48" s="2105"/>
      <c r="AB48" s="2105"/>
      <c r="AC48" s="2106"/>
      <c r="AD48" s="2104" t="str">
        <f>INDEX(PT_DIFFERENTIATION_CS,MATCH(C48,PT_DIFFERENTIATION_CS_ID,0))</f>
        <v/>
      </c>
      <c r="AE48" s="2105"/>
      <c r="AF48" s="2105"/>
      <c r="AG48" s="2105"/>
      <c r="AH48" s="2105"/>
      <c r="AI48" s="2105"/>
      <c r="AJ48" s="2105"/>
      <c r="AK48" s="2105"/>
      <c r="AL48" s="2105"/>
      <c r="AM48" s="2105"/>
      <c r="AN48" s="2105"/>
      <c r="AO48" s="2105"/>
      <c r="AP48" s="2105"/>
      <c r="AQ48" s="2105"/>
      <c r="AR48" s="2105"/>
      <c r="AS48" s="2105"/>
      <c r="AT48" s="2105"/>
      <c r="AU48" s="2105"/>
      <c r="AV48" s="2105"/>
      <c r="AW48" s="2105"/>
      <c r="AX48" s="2105"/>
      <c r="AY48" s="2105"/>
      <c r="AZ48" s="2105"/>
      <c r="BA48" s="2105"/>
      <c r="BB48" s="2106"/>
      <c r="BC48" s="1044" t="s">
        <v>441</v>
      </c>
      <c r="BE48" s="368"/>
      <c r="BF48" s="368" t="str">
        <f t="shared" si="3"/>
        <v>Наименование централизованной системы водоотведения</v>
      </c>
      <c r="BG48" s="368"/>
      <c r="BH48" s="368"/>
    </row>
    <row r="49" spans="1:60" s="1622" customFormat="1" ht="0" hidden="1" customHeight="1">
      <c r="A49" s="1124" t="s">
        <v>200</v>
      </c>
      <c r="B49" s="1124" t="s">
        <v>201</v>
      </c>
      <c r="C49" s="1124" t="s">
        <v>202</v>
      </c>
      <c r="D49" s="1124" t="s">
        <v>453</v>
      </c>
      <c r="E49" s="2112"/>
      <c r="F49" s="2112"/>
      <c r="G49" s="2112"/>
      <c r="H49" s="2111">
        <v>1</v>
      </c>
      <c r="I49" s="1124"/>
      <c r="J49" s="1124"/>
      <c r="K49" s="1124"/>
      <c r="L49" s="1127"/>
      <c r="M49" s="1097"/>
      <c r="N49" s="1097"/>
      <c r="O49" s="1097"/>
      <c r="P49" s="1267"/>
      <c r="Q49" s="1268"/>
      <c r="R49" s="238"/>
      <c r="S49" s="825"/>
      <c r="T49" s="1269"/>
      <c r="U49" s="1164"/>
      <c r="V49" s="2141"/>
      <c r="W49" s="2141"/>
      <c r="X49" s="2141"/>
      <c r="Y49" s="2141"/>
      <c r="Z49" s="2141"/>
      <c r="AA49" s="2141"/>
      <c r="AB49" s="2141"/>
      <c r="AC49" s="2142"/>
      <c r="AD49" s="2140"/>
      <c r="AE49" s="2141"/>
      <c r="AF49" s="2141"/>
      <c r="AG49" s="2141"/>
      <c r="AH49" s="2141"/>
      <c r="AI49" s="2141"/>
      <c r="AJ49" s="2141"/>
      <c r="AK49" s="2141"/>
      <c r="AL49" s="2141"/>
      <c r="AM49" s="2141"/>
      <c r="AN49" s="2141"/>
      <c r="AO49" s="2141"/>
      <c r="AP49" s="2141"/>
      <c r="AQ49" s="2141"/>
      <c r="AR49" s="2141"/>
      <c r="AS49" s="2141"/>
      <c r="AT49" s="2141"/>
      <c r="AU49" s="2141"/>
      <c r="AV49" s="2141"/>
      <c r="AW49" s="2141"/>
      <c r="AX49" s="2141"/>
      <c r="AY49" s="2141"/>
      <c r="AZ49" s="2141"/>
      <c r="BA49" s="2141"/>
      <c r="BB49" s="2142"/>
      <c r="BC49" s="1165" t="s">
        <v>328</v>
      </c>
      <c r="BE49" s="368"/>
      <c r="BF49" s="368" t="str">
        <f t="shared" si="3"/>
        <v/>
      </c>
      <c r="BG49" s="368"/>
      <c r="BH49" s="368"/>
    </row>
    <row r="50" spans="1:60" s="1622" customFormat="1" ht="0" hidden="1" customHeight="1">
      <c r="A50" s="1124" t="s">
        <v>200</v>
      </c>
      <c r="B50" s="1124" t="s">
        <v>201</v>
      </c>
      <c r="C50" s="1124" t="s">
        <v>202</v>
      </c>
      <c r="D50" s="1124" t="s">
        <v>453</v>
      </c>
      <c r="E50" s="2112"/>
      <c r="F50" s="2112"/>
      <c r="G50" s="2112"/>
      <c r="H50" s="2112"/>
      <c r="I50" s="2113" t="str">
        <f>S49&amp;".1"</f>
        <v>.1</v>
      </c>
      <c r="J50" s="1124"/>
      <c r="K50" s="1124"/>
      <c r="L50" s="1127" t="s">
        <v>329</v>
      </c>
      <c r="M50" s="378"/>
      <c r="N50" s="378"/>
      <c r="O50" s="378"/>
      <c r="P50" s="2115">
        <v>1</v>
      </c>
      <c r="Q50" s="1251"/>
      <c r="R50" s="237"/>
      <c r="S50" s="825"/>
      <c r="T50" s="1163"/>
      <c r="U50" s="1164"/>
      <c r="V50" s="2141"/>
      <c r="W50" s="2141"/>
      <c r="X50" s="2141"/>
      <c r="Y50" s="2141"/>
      <c r="Z50" s="2141"/>
      <c r="AA50" s="2141"/>
      <c r="AB50" s="2141"/>
      <c r="AC50" s="2142"/>
      <c r="AD50" s="2140"/>
      <c r="AE50" s="2141"/>
      <c r="AF50" s="2141"/>
      <c r="AG50" s="2141"/>
      <c r="AH50" s="2141"/>
      <c r="AI50" s="2141"/>
      <c r="AJ50" s="2141"/>
      <c r="AK50" s="2141"/>
      <c r="AL50" s="2141"/>
      <c r="AM50" s="2141"/>
      <c r="AN50" s="2141"/>
      <c r="AO50" s="2141"/>
      <c r="AP50" s="2141"/>
      <c r="AQ50" s="2141"/>
      <c r="AR50" s="2141"/>
      <c r="AS50" s="2141"/>
      <c r="AT50" s="2141"/>
      <c r="AU50" s="2141"/>
      <c r="AV50" s="2141"/>
      <c r="AW50" s="2141"/>
      <c r="AX50" s="2141"/>
      <c r="AY50" s="2141"/>
      <c r="AZ50" s="2141"/>
      <c r="BA50" s="2141"/>
      <c r="BB50" s="2142"/>
      <c r="BC50" s="1165"/>
      <c r="BE50" s="368"/>
      <c r="BF50" s="368" t="str">
        <f t="shared" si="3"/>
        <v/>
      </c>
      <c r="BG50" s="368"/>
      <c r="BH50" s="368"/>
    </row>
    <row r="51" spans="1:60" s="1622" customFormat="1" ht="0" hidden="1" customHeight="1">
      <c r="A51" s="1124" t="s">
        <v>200</v>
      </c>
      <c r="B51" s="1124" t="s">
        <v>201</v>
      </c>
      <c r="C51" s="1124" t="s">
        <v>202</v>
      </c>
      <c r="D51" s="1124" t="s">
        <v>453</v>
      </c>
      <c r="E51" s="2112"/>
      <c r="F51" s="2112"/>
      <c r="G51" s="2112"/>
      <c r="H51" s="2112"/>
      <c r="I51" s="2114"/>
      <c r="J51" s="2113" t="str">
        <f>S49&amp;".1"</f>
        <v>.1</v>
      </c>
      <c r="K51" s="1124"/>
      <c r="L51" s="1127"/>
      <c r="M51" s="378"/>
      <c r="N51" s="378"/>
      <c r="O51" s="378"/>
      <c r="P51" s="2115"/>
      <c r="Q51" s="2115">
        <v>1</v>
      </c>
      <c r="R51" s="238"/>
      <c r="S51" s="825"/>
      <c r="T51" s="1179"/>
      <c r="U51" s="1164"/>
      <c r="V51" s="2141"/>
      <c r="W51" s="2141"/>
      <c r="X51" s="2141"/>
      <c r="Y51" s="2141"/>
      <c r="Z51" s="2141"/>
      <c r="AA51" s="2141"/>
      <c r="AB51" s="2141"/>
      <c r="AC51" s="2142"/>
      <c r="AD51" s="2140"/>
      <c r="AE51" s="2141"/>
      <c r="AF51" s="2141"/>
      <c r="AG51" s="2141"/>
      <c r="AH51" s="2141"/>
      <c r="AI51" s="2141"/>
      <c r="AJ51" s="2141"/>
      <c r="AK51" s="2141"/>
      <c r="AL51" s="2141"/>
      <c r="AM51" s="2141"/>
      <c r="AN51" s="2186"/>
      <c r="AO51" s="2186"/>
      <c r="AP51" s="2141"/>
      <c r="AQ51" s="2141"/>
      <c r="AR51" s="2141"/>
      <c r="AS51" s="2141"/>
      <c r="AT51" s="2141"/>
      <c r="AU51" s="2141"/>
      <c r="AV51" s="2141"/>
      <c r="AW51" s="2141"/>
      <c r="AX51" s="2141"/>
      <c r="AY51" s="2141"/>
      <c r="AZ51" s="2141"/>
      <c r="BA51" s="2141"/>
      <c r="BB51" s="2142"/>
      <c r="BC51" s="1165"/>
      <c r="BE51" s="368"/>
      <c r="BF51" s="368" t="str">
        <f t="shared" si="3"/>
        <v/>
      </c>
      <c r="BG51" s="368"/>
      <c r="BH51" s="368"/>
    </row>
    <row r="52" spans="1:60" ht="11.25" customHeight="1">
      <c r="A52" s="1143" t="s">
        <v>200</v>
      </c>
      <c r="B52" s="1143" t="s">
        <v>201</v>
      </c>
      <c r="C52" s="1143" t="s">
        <v>202</v>
      </c>
      <c r="D52" s="1143" t="s">
        <v>453</v>
      </c>
      <c r="E52" s="2112"/>
      <c r="F52" s="2112"/>
      <c r="G52" s="2112"/>
      <c r="H52" s="2112"/>
      <c r="I52" s="2114"/>
      <c r="J52" s="2114"/>
      <c r="K52" s="2113" t="str">
        <f>S48&amp;".1"</f>
        <v>...1</v>
      </c>
      <c r="L52" s="1144"/>
      <c r="P52" s="2115"/>
      <c r="Q52" s="2115"/>
      <c r="R52" s="238">
        <v>1</v>
      </c>
      <c r="S52" s="2161" t="str">
        <f>$K52</f>
        <v>...1</v>
      </c>
      <c r="T52" s="2180"/>
      <c r="U52" s="175"/>
      <c r="V52" s="576"/>
      <c r="W52" s="1043"/>
      <c r="X52" s="576"/>
      <c r="Y52" s="1043"/>
      <c r="Z52" s="1474"/>
      <c r="AA52" s="1240" t="s">
        <v>16</v>
      </c>
      <c r="AB52" s="1474"/>
      <c r="AC52" s="1240" t="s">
        <v>16</v>
      </c>
      <c r="AD52" s="2049" t="s">
        <v>16</v>
      </c>
      <c r="AE52" s="2157"/>
      <c r="AF52" s="2063">
        <v>1</v>
      </c>
      <c r="AG52" s="2179"/>
      <c r="AH52" s="2109" t="s">
        <v>16</v>
      </c>
      <c r="AI52" s="2157"/>
      <c r="AJ52" s="2063">
        <v>1</v>
      </c>
      <c r="AK52" s="2178" t="s">
        <v>1</v>
      </c>
      <c r="AL52" s="2109" t="s">
        <v>16</v>
      </c>
      <c r="AM52" s="2037"/>
      <c r="AN52" s="2063">
        <v>1</v>
      </c>
      <c r="AO52" s="2183"/>
      <c r="AP52" s="2184" t="s">
        <v>16</v>
      </c>
      <c r="AQ52" s="188"/>
      <c r="AR52" s="1256">
        <v>1</v>
      </c>
      <c r="AS52" s="1262" t="s">
        <v>1</v>
      </c>
      <c r="AT52" s="576"/>
      <c r="AU52" s="1043"/>
      <c r="AV52" s="576"/>
      <c r="AW52" s="1043"/>
      <c r="AX52" s="1474"/>
      <c r="AY52" s="1240" t="s">
        <v>16</v>
      </c>
      <c r="AZ52" s="1474"/>
      <c r="BA52" s="1240" t="s">
        <v>16</v>
      </c>
      <c r="BB52" s="1129"/>
      <c r="BC52" s="2134" t="s">
        <v>425</v>
      </c>
      <c r="BE52" s="368"/>
      <c r="BF52" s="368" t="str">
        <f t="shared" si="3"/>
        <v/>
      </c>
      <c r="BG52" s="368"/>
      <c r="BH52" s="368"/>
    </row>
    <row r="53" spans="1:60" ht="11.25" customHeight="1">
      <c r="A53" s="1143"/>
      <c r="B53" s="1143"/>
      <c r="C53" s="1143"/>
      <c r="D53" s="1143"/>
      <c r="E53" s="2112"/>
      <c r="F53" s="2112"/>
      <c r="G53" s="2112"/>
      <c r="H53" s="2112"/>
      <c r="I53" s="2114"/>
      <c r="J53" s="2114"/>
      <c r="K53" s="2113"/>
      <c r="L53" s="1144"/>
      <c r="P53" s="2115"/>
      <c r="Q53" s="2115"/>
      <c r="R53" s="238"/>
      <c r="S53" s="2162"/>
      <c r="T53" s="2181"/>
      <c r="U53" s="175"/>
      <c r="V53" s="1173"/>
      <c r="W53" s="1266"/>
      <c r="X53" s="1173"/>
      <c r="Y53" s="1266"/>
      <c r="Z53" s="1173"/>
      <c r="AA53" s="1173"/>
      <c r="AB53" s="1173"/>
      <c r="AC53" s="1173"/>
      <c r="AD53" s="2050"/>
      <c r="AE53" s="2157"/>
      <c r="AF53" s="2063"/>
      <c r="AG53" s="2179"/>
      <c r="AH53" s="2109"/>
      <c r="AI53" s="2157"/>
      <c r="AJ53" s="2063"/>
      <c r="AK53" s="2178"/>
      <c r="AL53" s="2109"/>
      <c r="AM53" s="2042"/>
      <c r="AN53" s="2063"/>
      <c r="AO53" s="2183"/>
      <c r="AP53" s="2185"/>
      <c r="AQ53" s="195"/>
      <c r="AR53" s="296"/>
      <c r="AS53" s="296" t="s">
        <v>426</v>
      </c>
      <c r="AT53" s="1173"/>
      <c r="AU53" s="1266"/>
      <c r="AV53" s="1173"/>
      <c r="AW53" s="1266"/>
      <c r="AX53" s="1173"/>
      <c r="AY53" s="1173"/>
      <c r="AZ53" s="1173"/>
      <c r="BA53" s="1173"/>
      <c r="BB53" s="1177"/>
      <c r="BC53" s="2135"/>
      <c r="BE53" s="368"/>
      <c r="BF53" s="368"/>
      <c r="BG53" s="368"/>
      <c r="BH53" s="368"/>
    </row>
    <row r="54" spans="1:60" ht="11.25" customHeight="1">
      <c r="A54" s="1143" t="s">
        <v>200</v>
      </c>
      <c r="B54" s="1143"/>
      <c r="C54" s="1143"/>
      <c r="D54" s="1143"/>
      <c r="E54" s="2112"/>
      <c r="F54" s="2112"/>
      <c r="G54" s="2112"/>
      <c r="H54" s="2112"/>
      <c r="I54" s="2114"/>
      <c r="J54" s="2114"/>
      <c r="K54" s="2113"/>
      <c r="L54" s="1144"/>
      <c r="P54" s="2115"/>
      <c r="Q54" s="2115"/>
      <c r="R54" s="238"/>
      <c r="S54" s="2162"/>
      <c r="T54" s="2181"/>
      <c r="U54" s="175"/>
      <c r="V54" s="1173"/>
      <c r="W54" s="1266"/>
      <c r="X54" s="1173"/>
      <c r="Y54" s="1266"/>
      <c r="Z54" s="1173"/>
      <c r="AA54" s="1173"/>
      <c r="AB54" s="1173"/>
      <c r="AC54" s="1173"/>
      <c r="AD54" s="2050"/>
      <c r="AE54" s="2157"/>
      <c r="AF54" s="2063"/>
      <c r="AG54" s="2179"/>
      <c r="AH54" s="2109"/>
      <c r="AI54" s="2157"/>
      <c r="AJ54" s="2063"/>
      <c r="AK54" s="2178"/>
      <c r="AL54" s="2109"/>
      <c r="AM54" s="195"/>
      <c r="AN54" s="1270"/>
      <c r="AO54" s="1270" t="s">
        <v>446</v>
      </c>
      <c r="AP54" s="296"/>
      <c r="AQ54" s="296"/>
      <c r="AR54" s="296"/>
      <c r="AS54" s="1173"/>
      <c r="AT54" s="1173"/>
      <c r="AU54" s="1266"/>
      <c r="AV54" s="1173"/>
      <c r="AW54" s="1266"/>
      <c r="AX54" s="1173"/>
      <c r="AY54" s="1173"/>
      <c r="AZ54" s="1173"/>
      <c r="BA54" s="1173"/>
      <c r="BB54" s="1177"/>
      <c r="BC54" s="2135"/>
      <c r="BE54" s="368"/>
      <c r="BF54" s="368"/>
      <c r="BG54" s="368"/>
      <c r="BH54" s="368"/>
    </row>
    <row r="55" spans="1:60" ht="11.25" customHeight="1">
      <c r="A55" s="1143" t="s">
        <v>200</v>
      </c>
      <c r="B55" s="1143"/>
      <c r="C55" s="1143"/>
      <c r="D55" s="1143"/>
      <c r="E55" s="2112"/>
      <c r="F55" s="2112"/>
      <c r="G55" s="2112"/>
      <c r="H55" s="2112"/>
      <c r="I55" s="2114"/>
      <c r="J55" s="2114"/>
      <c r="K55" s="2113"/>
      <c r="L55" s="1144"/>
      <c r="P55" s="2115"/>
      <c r="Q55" s="2115"/>
      <c r="R55" s="238"/>
      <c r="S55" s="2162"/>
      <c r="T55" s="2181"/>
      <c r="U55" s="175"/>
      <c r="V55" s="1173"/>
      <c r="W55" s="1266"/>
      <c r="X55" s="1173"/>
      <c r="Y55" s="1266"/>
      <c r="Z55" s="1173"/>
      <c r="AA55" s="1173"/>
      <c r="AB55" s="1173"/>
      <c r="AC55" s="1173"/>
      <c r="AD55" s="2050"/>
      <c r="AE55" s="2157"/>
      <c r="AF55" s="2063"/>
      <c r="AG55" s="2179"/>
      <c r="AH55" s="2109"/>
      <c r="AI55" s="169"/>
      <c r="AJ55" s="295"/>
      <c r="AK55" s="190" t="s">
        <v>447</v>
      </c>
      <c r="AL55" s="1173"/>
      <c r="AM55" s="1173"/>
      <c r="AN55" s="1173"/>
      <c r="AO55" s="1173"/>
      <c r="AP55" s="1173"/>
      <c r="AQ55" s="1173"/>
      <c r="AR55" s="1173"/>
      <c r="AS55" s="1173"/>
      <c r="AT55" s="1173"/>
      <c r="AU55" s="1266"/>
      <c r="AV55" s="1173"/>
      <c r="AW55" s="1266"/>
      <c r="AX55" s="1173"/>
      <c r="AY55" s="1173"/>
      <c r="AZ55" s="1173"/>
      <c r="BA55" s="1173"/>
      <c r="BB55" s="1177"/>
      <c r="BC55" s="2135"/>
      <c r="BE55" s="368"/>
      <c r="BF55" s="368"/>
      <c r="BG55" s="368"/>
      <c r="BH55" s="368"/>
    </row>
    <row r="56" spans="1:60" ht="11.25" customHeight="1">
      <c r="A56" s="1143" t="s">
        <v>200</v>
      </c>
      <c r="B56" s="1143" t="s">
        <v>201</v>
      </c>
      <c r="C56" s="1143" t="s">
        <v>202</v>
      </c>
      <c r="D56" s="1143" t="s">
        <v>453</v>
      </c>
      <c r="E56" s="2112"/>
      <c r="F56" s="2112"/>
      <c r="G56" s="2112"/>
      <c r="H56" s="2112"/>
      <c r="I56" s="2114"/>
      <c r="J56" s="2114"/>
      <c r="K56" s="2113"/>
      <c r="L56" s="1144"/>
      <c r="P56" s="2115"/>
      <c r="Q56" s="2115"/>
      <c r="R56" s="238"/>
      <c r="S56" s="2163"/>
      <c r="T56" s="2182"/>
      <c r="U56" s="175"/>
      <c r="V56" s="1173"/>
      <c r="W56" s="1174" t="str">
        <f>Z52&amp;"-"&amp;AB52</f>
        <v>-</v>
      </c>
      <c r="X56" s="1173"/>
      <c r="Y56" s="1174" t="str">
        <f>AB52&amp;"-"&amp;AD52</f>
        <v>-да</v>
      </c>
      <c r="Z56" s="1173"/>
      <c r="AA56" s="1173"/>
      <c r="AB56" s="1173"/>
      <c r="AC56" s="1173"/>
      <c r="AD56" s="2051"/>
      <c r="AE56" s="189"/>
      <c r="AF56" s="191"/>
      <c r="AG56" s="296" t="s">
        <v>429</v>
      </c>
      <c r="AH56" s="1173"/>
      <c r="AI56" s="1173"/>
      <c r="AJ56" s="1173"/>
      <c r="AK56" s="1173"/>
      <c r="AL56" s="1173"/>
      <c r="AM56" s="1173"/>
      <c r="AN56" s="1173"/>
      <c r="AO56" s="1173"/>
      <c r="AP56" s="1173"/>
      <c r="AQ56" s="1173"/>
      <c r="AR56" s="1173"/>
      <c r="AS56" s="1173"/>
      <c r="AT56" s="1173"/>
      <c r="AU56" s="1174" t="str">
        <f>AX52&amp;"-"&amp;AZ52</f>
        <v>-</v>
      </c>
      <c r="AV56" s="1173"/>
      <c r="AW56" s="1174" t="str">
        <f>AZ52&amp;"-"&amp;BB52</f>
        <v>-</v>
      </c>
      <c r="AX56" s="1173"/>
      <c r="AY56" s="1173"/>
      <c r="AZ56" s="1173"/>
      <c r="BA56" s="1173"/>
      <c r="BB56" s="1176" t="str">
        <f>BE52&amp;"-"&amp;BG52</f>
        <v>-</v>
      </c>
      <c r="BC56" s="2135"/>
      <c r="BE56" s="368"/>
      <c r="BF56" s="368" t="str">
        <f t="shared" ref="BF56:BF63" si="4">IF(T56="","",T56)</f>
        <v/>
      </c>
      <c r="BG56" s="368"/>
      <c r="BH56" s="368"/>
    </row>
    <row r="57" spans="1:60" ht="11.25" customHeight="1">
      <c r="A57" s="1143" t="s">
        <v>200</v>
      </c>
      <c r="B57" s="1143" t="s">
        <v>201</v>
      </c>
      <c r="C57" s="1143" t="s">
        <v>202</v>
      </c>
      <c r="D57" s="1143" t="s">
        <v>453</v>
      </c>
      <c r="E57" s="2112"/>
      <c r="F57" s="2112"/>
      <c r="G57" s="2112"/>
      <c r="H57" s="2112"/>
      <c r="I57" s="2114"/>
      <c r="J57" s="2113"/>
      <c r="K57" s="1143"/>
      <c r="L57" s="1144"/>
      <c r="P57" s="2115"/>
      <c r="Q57" s="2115"/>
      <c r="R57" s="237"/>
      <c r="S57" s="1062"/>
      <c r="T57" s="163" t="s">
        <v>393</v>
      </c>
      <c r="U57" s="251"/>
      <c r="V57" s="251"/>
      <c r="W57" s="251"/>
      <c r="X57" s="251"/>
      <c r="Y57" s="251"/>
      <c r="Z57" s="251"/>
      <c r="AA57" s="251"/>
      <c r="AB57" s="251"/>
      <c r="AC57" s="206"/>
      <c r="AD57" s="1275"/>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06"/>
      <c r="BC57" s="2136"/>
      <c r="BE57" s="368"/>
      <c r="BF57" s="368" t="str">
        <f t="shared" si="4"/>
        <v>Добавить строку</v>
      </c>
      <c r="BG57" s="368"/>
      <c r="BH57" s="368"/>
    </row>
    <row r="58" spans="1:60" s="1622" customFormat="1" ht="0" hidden="1" customHeight="1">
      <c r="A58" s="1124" t="s">
        <v>200</v>
      </c>
      <c r="B58" s="1124" t="s">
        <v>201</v>
      </c>
      <c r="C58" s="1124" t="s">
        <v>202</v>
      </c>
      <c r="D58" s="1124" t="s">
        <v>453</v>
      </c>
      <c r="E58" s="2112"/>
      <c r="F58" s="2112"/>
      <c r="G58" s="2112"/>
      <c r="H58" s="2112"/>
      <c r="I58" s="2113"/>
      <c r="J58" s="1124"/>
      <c r="K58" s="1124"/>
      <c r="L58" s="1127"/>
      <c r="M58" s="378"/>
      <c r="N58" s="378"/>
      <c r="O58" s="378"/>
      <c r="P58" s="2115"/>
      <c r="Q58" s="1251"/>
      <c r="R58" s="237"/>
      <c r="S58" s="1166"/>
      <c r="T58" s="1167"/>
      <c r="U58" s="1168"/>
      <c r="V58" s="1168"/>
      <c r="W58" s="1168"/>
      <c r="X58" s="1168"/>
      <c r="Y58" s="1168"/>
      <c r="Z58" s="1168"/>
      <c r="AA58" s="1168"/>
      <c r="AB58" s="1168"/>
      <c r="AC58" s="1168"/>
      <c r="AD58" s="1168"/>
      <c r="AE58" s="1168"/>
      <c r="AF58" s="1168"/>
      <c r="AG58" s="1168"/>
      <c r="AH58" s="1168"/>
      <c r="AI58" s="1168"/>
      <c r="AJ58" s="1168"/>
      <c r="AK58" s="1168"/>
      <c r="AL58" s="1168"/>
      <c r="AM58" s="1168"/>
      <c r="AN58" s="1168"/>
      <c r="AO58" s="1168"/>
      <c r="AP58" s="1168"/>
      <c r="AQ58" s="1168"/>
      <c r="AR58" s="1168"/>
      <c r="AS58" s="1168"/>
      <c r="AT58" s="1168"/>
      <c r="AU58" s="1168"/>
      <c r="AV58" s="1168"/>
      <c r="AW58" s="1168"/>
      <c r="AX58" s="1168"/>
      <c r="AY58" s="1168"/>
      <c r="AZ58" s="1168"/>
      <c r="BA58" s="1168"/>
      <c r="BB58" s="1168"/>
      <c r="BC58" s="1169"/>
      <c r="BE58" s="368"/>
      <c r="BF58" s="368" t="str">
        <f t="shared" si="4"/>
        <v/>
      </c>
      <c r="BG58" s="368"/>
      <c r="BH58" s="368"/>
    </row>
    <row r="59" spans="1:60" s="1622" customFormat="1" ht="0" hidden="1" customHeight="1">
      <c r="A59" s="1124" t="s">
        <v>200</v>
      </c>
      <c r="B59" s="1124" t="s">
        <v>201</v>
      </c>
      <c r="C59" s="1124" t="s">
        <v>202</v>
      </c>
      <c r="D59" s="1124" t="s">
        <v>453</v>
      </c>
      <c r="E59" s="2112"/>
      <c r="F59" s="2112"/>
      <c r="G59" s="2112"/>
      <c r="H59" s="2111"/>
      <c r="I59" s="1124"/>
      <c r="J59" s="1124"/>
      <c r="K59" s="1124"/>
      <c r="L59" s="1127"/>
      <c r="M59" s="1097"/>
      <c r="N59" s="1097"/>
      <c r="O59" s="386"/>
      <c r="P59" s="269"/>
      <c r="Q59" s="1125"/>
      <c r="R59" s="1181"/>
      <c r="S59" s="1166"/>
      <c r="T59" s="1167"/>
      <c r="U59" s="1168"/>
      <c r="V59" s="1168"/>
      <c r="W59" s="1168"/>
      <c r="X59" s="1168"/>
      <c r="Y59" s="1168"/>
      <c r="Z59" s="1168"/>
      <c r="AA59" s="1168"/>
      <c r="AB59" s="1168"/>
      <c r="AC59" s="1168"/>
      <c r="AD59" s="1168"/>
      <c r="AE59" s="1168"/>
      <c r="AF59" s="1168"/>
      <c r="AG59" s="1168"/>
      <c r="AH59" s="1168"/>
      <c r="AI59" s="1168"/>
      <c r="AJ59" s="1168"/>
      <c r="AK59" s="1168"/>
      <c r="AL59" s="1168"/>
      <c r="AM59" s="1168"/>
      <c r="AN59" s="1168"/>
      <c r="AO59" s="1168"/>
      <c r="AP59" s="1168"/>
      <c r="AQ59" s="1168"/>
      <c r="AR59" s="1168"/>
      <c r="AS59" s="1168"/>
      <c r="AT59" s="1168"/>
      <c r="AU59" s="1168"/>
      <c r="AV59" s="1168"/>
      <c r="AW59" s="1168"/>
      <c r="AX59" s="1168"/>
      <c r="AY59" s="1168"/>
      <c r="AZ59" s="1168"/>
      <c r="BA59" s="1168"/>
      <c r="BB59" s="1168"/>
      <c r="BC59" s="1169"/>
      <c r="BE59" s="368"/>
      <c r="BF59" s="368" t="str">
        <f t="shared" si="4"/>
        <v/>
      </c>
      <c r="BG59" s="368"/>
      <c r="BH59" s="368"/>
    </row>
    <row r="60" spans="1:60" s="1686" customFormat="1" ht="0" hidden="1" customHeight="1">
      <c r="A60" s="1124" t="s">
        <v>200</v>
      </c>
      <c r="B60" s="1124" t="s">
        <v>201</v>
      </c>
      <c r="C60" s="1124" t="s">
        <v>202</v>
      </c>
      <c r="D60" s="1096"/>
      <c r="E60" s="2112"/>
      <c r="F60" s="2112"/>
      <c r="G60" s="2111"/>
      <c r="H60" s="1096"/>
      <c r="I60" s="1096"/>
      <c r="J60" s="1096"/>
      <c r="K60" s="1096"/>
      <c r="L60" s="1264"/>
      <c r="M60" s="1097"/>
      <c r="N60" s="1097"/>
      <c r="P60" s="1098"/>
      <c r="Q60" s="1099"/>
      <c r="R60" s="1098"/>
      <c r="S60" s="1104"/>
      <c r="T60" s="1107"/>
      <c r="U60" s="1106"/>
      <c r="V60" s="1106"/>
      <c r="W60" s="1106"/>
      <c r="X60" s="1106"/>
      <c r="Y60" s="1106"/>
      <c r="Z60" s="1106"/>
      <c r="AA60" s="1106"/>
      <c r="AB60" s="1106"/>
      <c r="AC60" s="1106"/>
      <c r="AD60" s="1106"/>
      <c r="AE60" s="1106"/>
      <c r="AF60" s="1106"/>
      <c r="AG60" s="1106"/>
      <c r="AH60" s="1106"/>
      <c r="AI60" s="1106"/>
      <c r="AJ60" s="1106"/>
      <c r="AK60" s="1106"/>
      <c r="AL60" s="1106"/>
      <c r="AM60" s="1106"/>
      <c r="AN60" s="1106"/>
      <c r="AO60" s="1106"/>
      <c r="AP60" s="1106"/>
      <c r="AQ60" s="1106"/>
      <c r="AR60" s="1106"/>
      <c r="AS60" s="1106"/>
      <c r="AT60" s="1106"/>
      <c r="AU60" s="1106"/>
      <c r="AV60" s="1106"/>
      <c r="AW60" s="1106"/>
      <c r="AX60" s="1106"/>
      <c r="AY60" s="1106"/>
      <c r="AZ60" s="1106"/>
      <c r="BA60" s="1106"/>
      <c r="BB60" s="1106"/>
      <c r="BC60" s="1106"/>
      <c r="BE60" s="598"/>
      <c r="BF60" s="598" t="str">
        <f t="shared" si="4"/>
        <v/>
      </c>
      <c r="BG60" s="598"/>
      <c r="BH60" s="598"/>
    </row>
    <row r="61" spans="1:60" s="1686" customFormat="1" ht="0" hidden="1" customHeight="1">
      <c r="A61" s="1124" t="s">
        <v>200</v>
      </c>
      <c r="B61" s="1124" t="s">
        <v>201</v>
      </c>
      <c r="C61" s="1096"/>
      <c r="D61" s="1096"/>
      <c r="E61" s="2112"/>
      <c r="F61" s="2111"/>
      <c r="G61" s="1096"/>
      <c r="H61" s="1096"/>
      <c r="I61" s="1096"/>
      <c r="J61" s="1096"/>
      <c r="K61" s="1096"/>
      <c r="L61" s="1264"/>
      <c r="M61" s="1103"/>
      <c r="N61" s="1103"/>
      <c r="P61" s="1098"/>
      <c r="Q61" s="1099"/>
      <c r="R61" s="1098"/>
      <c r="S61" s="1104"/>
      <c r="T61" s="1107" t="s">
        <v>341</v>
      </c>
      <c r="U61" s="1106"/>
      <c r="V61" s="1106"/>
      <c r="W61" s="1106"/>
      <c r="X61" s="1106"/>
      <c r="Y61" s="1106"/>
      <c r="Z61" s="1106"/>
      <c r="AA61" s="1106"/>
      <c r="AB61" s="1106"/>
      <c r="AC61" s="1106"/>
      <c r="AD61" s="1106"/>
      <c r="AE61" s="1106"/>
      <c r="AF61" s="1106"/>
      <c r="AG61" s="1106"/>
      <c r="AH61" s="1106"/>
      <c r="AI61" s="1106"/>
      <c r="AJ61" s="1106"/>
      <c r="AK61" s="1106"/>
      <c r="AL61" s="1106"/>
      <c r="AM61" s="1106"/>
      <c r="AN61" s="1106"/>
      <c r="AO61" s="1106"/>
      <c r="AP61" s="1106"/>
      <c r="AQ61" s="1106"/>
      <c r="AR61" s="1106"/>
      <c r="AS61" s="1106"/>
      <c r="AT61" s="1106"/>
      <c r="AU61" s="1106"/>
      <c r="AV61" s="1106"/>
      <c r="AW61" s="1106"/>
      <c r="AX61" s="1106"/>
      <c r="AY61" s="1106"/>
      <c r="AZ61" s="1106"/>
      <c r="BA61" s="1106"/>
      <c r="BB61" s="1106"/>
      <c r="BC61" s="1106"/>
      <c r="BE61" s="598"/>
      <c r="BF61" s="598" t="str">
        <f t="shared" si="4"/>
        <v>Добавить централизованную систему для дифференциации</v>
      </c>
      <c r="BG61" s="598"/>
      <c r="BH61" s="598"/>
    </row>
    <row r="62" spans="1:60" s="1622" customFormat="1" ht="0" hidden="1" customHeight="1">
      <c r="A62" s="1124" t="s">
        <v>200</v>
      </c>
      <c r="B62" s="1124"/>
      <c r="C62" s="1124"/>
      <c r="D62" s="1124"/>
      <c r="E62" s="2111"/>
      <c r="F62" s="1124"/>
      <c r="G62" s="1124"/>
      <c r="H62" s="1124"/>
      <c r="I62" s="1124"/>
      <c r="J62" s="1124"/>
      <c r="K62" s="1124"/>
      <c r="L62" s="1127"/>
      <c r="M62" s="1103"/>
      <c r="N62" s="1103"/>
      <c r="O62" s="386"/>
      <c r="P62" s="269"/>
      <c r="Q62" s="1125"/>
      <c r="R62" s="269"/>
      <c r="S62" s="1104"/>
      <c r="T62" s="1107" t="s">
        <v>342</v>
      </c>
      <c r="U62" s="1106"/>
      <c r="V62" s="1106"/>
      <c r="W62" s="1106"/>
      <c r="X62" s="1106"/>
      <c r="Y62" s="1106"/>
      <c r="Z62" s="1106"/>
      <c r="AA62" s="1106"/>
      <c r="AB62" s="1106"/>
      <c r="AC62" s="1106"/>
      <c r="AD62" s="1106"/>
      <c r="AE62" s="1106"/>
      <c r="AF62" s="1106"/>
      <c r="AG62" s="1106"/>
      <c r="AH62" s="1106"/>
      <c r="AI62" s="1106"/>
      <c r="AJ62" s="1106"/>
      <c r="AK62" s="1106"/>
      <c r="AL62" s="1106"/>
      <c r="AM62" s="1106"/>
      <c r="AN62" s="1106"/>
      <c r="AO62" s="1106"/>
      <c r="AP62" s="1106"/>
      <c r="AQ62" s="1106"/>
      <c r="AR62" s="1106"/>
      <c r="AS62" s="1106"/>
      <c r="AT62" s="1106"/>
      <c r="AU62" s="1106"/>
      <c r="AV62" s="1106"/>
      <c r="AW62" s="1106"/>
      <c r="AX62" s="1106"/>
      <c r="AY62" s="1106"/>
      <c r="AZ62" s="1106"/>
      <c r="BA62" s="1106"/>
      <c r="BB62" s="1106"/>
      <c r="BC62" s="1106"/>
      <c r="BE62" s="368"/>
      <c r="BF62" s="368" t="str">
        <f t="shared" si="4"/>
        <v>Добавить территорию для дифференциации</v>
      </c>
      <c r="BG62" s="368"/>
      <c r="BH62" s="368"/>
    </row>
    <row r="63" spans="1:60" s="1686" customFormat="1" ht="0" hidden="1" customHeight="1">
      <c r="A63" s="1096"/>
      <c r="B63" s="1096"/>
      <c r="C63" s="1096"/>
      <c r="D63" s="1096"/>
      <c r="E63" s="1124"/>
      <c r="F63" s="1096"/>
      <c r="G63" s="1096"/>
      <c r="H63" s="1096"/>
      <c r="I63" s="1096"/>
      <c r="J63" s="1096"/>
      <c r="K63" s="1096"/>
      <c r="L63" s="1264"/>
      <c r="M63" s="1103"/>
      <c r="N63" s="1103"/>
      <c r="P63" s="1098"/>
      <c r="Q63" s="1099"/>
      <c r="R63" s="1098"/>
      <c r="S63" s="1104"/>
      <c r="T63" s="1107" t="s">
        <v>374</v>
      </c>
      <c r="U63" s="1106"/>
      <c r="V63" s="1106"/>
      <c r="W63" s="1106"/>
      <c r="X63" s="1106"/>
      <c r="Y63" s="1106"/>
      <c r="Z63" s="1106"/>
      <c r="AA63" s="1106"/>
      <c r="AB63" s="1106"/>
      <c r="AC63" s="1106"/>
      <c r="AD63" s="1106"/>
      <c r="AE63" s="1106"/>
      <c r="AF63" s="1106"/>
      <c r="AG63" s="1106"/>
      <c r="AH63" s="1106"/>
      <c r="AI63" s="1106"/>
      <c r="AJ63" s="1106"/>
      <c r="AK63" s="1106"/>
      <c r="AL63" s="1106"/>
      <c r="AM63" s="1106"/>
      <c r="AN63" s="1106"/>
      <c r="AO63" s="1106"/>
      <c r="AP63" s="1106"/>
      <c r="AQ63" s="1106"/>
      <c r="AR63" s="1106"/>
      <c r="AS63" s="1106"/>
      <c r="AT63" s="1106"/>
      <c r="AU63" s="1106"/>
      <c r="AV63" s="1106"/>
      <c r="AW63" s="1106"/>
      <c r="AX63" s="1106"/>
      <c r="AY63" s="1106"/>
      <c r="AZ63" s="1106"/>
      <c r="BA63" s="1106"/>
      <c r="BB63" s="1106"/>
      <c r="BC63" s="1106"/>
      <c r="BE63" s="598"/>
      <c r="BF63" s="598" t="str">
        <f t="shared" si="4"/>
        <v>Добавить наименование тарифа</v>
      </c>
      <c r="BG63" s="598"/>
      <c r="BH63" s="598"/>
    </row>
    <row r="64" spans="1:60" ht="11.25" customHeight="1">
      <c r="M64" s="929"/>
      <c r="N64" s="929"/>
      <c r="O64" s="395"/>
      <c r="P64" s="929"/>
      <c r="Q64" s="929"/>
      <c r="R64" s="924"/>
      <c r="S64" s="924"/>
      <c r="BD64" s="924"/>
      <c r="BE64" s="924"/>
      <c r="BF64" s="924"/>
      <c r="BG64" s="924"/>
      <c r="BH64" s="924"/>
    </row>
    <row r="65" spans="15:55" ht="14.25" customHeight="1">
      <c r="O65" s="395"/>
      <c r="S65" s="1031"/>
      <c r="T65" s="2110"/>
      <c r="U65" s="2110"/>
      <c r="V65" s="2110"/>
      <c r="W65" s="2110"/>
      <c r="X65" s="2110"/>
      <c r="Y65" s="2110"/>
      <c r="Z65" s="2110"/>
      <c r="AA65" s="2110"/>
      <c r="AB65" s="2110"/>
      <c r="AC65" s="2110"/>
      <c r="AD65" s="2110"/>
      <c r="AE65" s="2110"/>
      <c r="AF65" s="2110"/>
      <c r="AG65" s="2110"/>
      <c r="AH65" s="2110"/>
      <c r="AI65" s="2110"/>
      <c r="AJ65" s="2110"/>
      <c r="AK65" s="2110"/>
      <c r="AL65" s="2110"/>
      <c r="AM65" s="2110"/>
      <c r="AN65" s="2110"/>
      <c r="AO65" s="2110"/>
      <c r="AP65" s="2110"/>
      <c r="AQ65" s="2110"/>
      <c r="AR65" s="2110"/>
      <c r="AS65" s="2110"/>
      <c r="AT65" s="2110"/>
      <c r="AU65" s="2110"/>
      <c r="AV65" s="2110"/>
      <c r="AW65" s="2110"/>
      <c r="AX65" s="2110"/>
      <c r="AY65" s="2110"/>
      <c r="AZ65" s="2110"/>
      <c r="BA65" s="2110"/>
      <c r="BB65" s="2110"/>
      <c r="BC65" s="2110"/>
    </row>
    <row r="66" spans="15:55" ht="14.25" customHeight="1">
      <c r="O66" s="395"/>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AV66" s="1250"/>
      <c r="AW66" s="1250"/>
      <c r="AX66" s="1250"/>
      <c r="AY66" s="1250"/>
      <c r="AZ66" s="1250"/>
      <c r="BA66" s="1250"/>
      <c r="BB66" s="1250"/>
      <c r="BC66" s="1250"/>
    </row>
    <row r="67" spans="15:55" ht="14.25" customHeight="1">
      <c r="O67" s="395"/>
      <c r="S67" s="1031"/>
      <c r="T67" s="2110"/>
      <c r="U67" s="2110"/>
      <c r="V67" s="2110"/>
      <c r="W67" s="2110"/>
      <c r="X67" s="2110"/>
      <c r="Y67" s="2110"/>
      <c r="Z67" s="2110"/>
      <c r="AA67" s="2110"/>
      <c r="AB67" s="2110"/>
      <c r="AC67" s="2110"/>
      <c r="AD67" s="2110"/>
      <c r="AE67" s="2110"/>
      <c r="AF67" s="2110"/>
      <c r="AG67" s="2110"/>
      <c r="AH67" s="2110"/>
      <c r="AI67" s="2110"/>
      <c r="AJ67" s="2110"/>
      <c r="AK67" s="2110"/>
      <c r="AL67" s="2110"/>
      <c r="AM67" s="2110"/>
      <c r="AN67" s="2110"/>
      <c r="AO67" s="2110"/>
      <c r="AP67" s="2110"/>
      <c r="AQ67" s="2110"/>
      <c r="AR67" s="2110"/>
      <c r="AS67" s="2110"/>
      <c r="AT67" s="2110"/>
      <c r="AU67" s="2110"/>
      <c r="AV67" s="2110"/>
      <c r="AW67" s="2110"/>
      <c r="AX67" s="2110"/>
      <c r="AY67" s="2110"/>
      <c r="AZ67" s="2110"/>
      <c r="BA67" s="2110"/>
      <c r="BB67" s="2110"/>
      <c r="BC67" s="2110"/>
    </row>
    <row r="68" spans="15:55" ht="14.25" customHeight="1">
      <c r="O68" s="39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687" hidden="1"/>
    <col min="2" max="2" width="11" style="1687" hidden="1" customWidth="1"/>
    <col min="3" max="3" width="10.5703125" style="1687" hidden="1"/>
    <col min="4" max="4" width="11.85546875" style="1687" hidden="1" customWidth="1"/>
    <col min="5" max="5" width="10" style="1687" hidden="1" customWidth="1"/>
    <col min="6" max="6" width="8.7109375" style="1687" hidden="1" customWidth="1"/>
    <col min="7" max="7" width="7.5703125" style="1687" hidden="1" customWidth="1"/>
    <col min="8" max="8" width="11.42578125" style="1687" hidden="1" customWidth="1"/>
    <col min="9" max="9" width="14.140625" style="1687" hidden="1" customWidth="1"/>
    <col min="10" max="10" width="9.85546875" style="1687" hidden="1" customWidth="1"/>
    <col min="11" max="11" width="14.7109375" style="1687" hidden="1" customWidth="1"/>
    <col min="12" max="12" width="19.140625" style="1706" hidden="1" customWidth="1"/>
    <col min="13" max="14" width="12.28515625" style="1689" hidden="1" customWidth="1"/>
    <col min="15" max="15" width="23.42578125" style="1689" hidden="1" customWidth="1"/>
    <col min="16" max="16" width="3.7109375" style="1707" customWidth="1"/>
    <col min="17" max="18" width="3.7109375" style="1695" customWidth="1"/>
    <col min="19" max="19" width="12.7109375" style="1696" customWidth="1"/>
    <col min="20" max="20" width="35.7109375" style="1661" customWidth="1"/>
    <col min="21" max="21" width="0.140625" style="1661" customWidth="1"/>
    <col min="22" max="24" width="24.7109375" style="1661" hidden="1" customWidth="1"/>
    <col min="25" max="25" width="11.7109375" style="1661" hidden="1" customWidth="1"/>
    <col min="26" max="26" width="3.7109375" style="1661" hidden="1" customWidth="1"/>
    <col min="27" max="27" width="11.7109375" style="1661" hidden="1" customWidth="1"/>
    <col min="28" max="28" width="8.5703125" style="1661" hidden="1" customWidth="1"/>
    <col min="29" max="31" width="24.7109375" style="1661" customWidth="1"/>
    <col min="32" max="32" width="11.7109375" style="1661" customWidth="1"/>
    <col min="33" max="33" width="3.7109375" style="1661" customWidth="1"/>
    <col min="34" max="34" width="11.7109375" style="1661" customWidth="1"/>
    <col min="35" max="35" width="8.5703125" style="1661" hidden="1" customWidth="1"/>
    <col min="36" max="36" width="4.7109375" style="1661" customWidth="1"/>
    <col min="37" max="37" width="115.7109375" style="1661" customWidth="1"/>
    <col min="38" max="39" width="10.5703125" style="1622"/>
    <col min="40" max="40" width="11.140625" style="1622" customWidth="1"/>
    <col min="41" max="42" width="10.5703125" style="1622"/>
  </cols>
  <sheetData>
    <row r="1" spans="1:42" ht="14.25" hidden="1" customHeight="1">
      <c r="X1" s="210"/>
      <c r="Y1" s="210"/>
      <c r="AE1" s="210"/>
      <c r="AF1" s="210"/>
    </row>
    <row r="2" spans="1:42" ht="23.25" hidden="1" customHeight="1">
      <c r="A2" s="1143"/>
      <c r="B2" s="1143"/>
      <c r="C2" s="1143"/>
      <c r="D2" s="1143"/>
      <c r="E2" s="2111">
        <v>1</v>
      </c>
      <c r="F2" s="1143"/>
      <c r="G2" s="1143"/>
      <c r="H2" s="1143"/>
      <c r="I2" s="1143"/>
      <c r="J2" s="1143"/>
      <c r="K2" s="1143"/>
      <c r="L2" s="1144"/>
      <c r="M2" s="1145"/>
      <c r="N2" s="1145"/>
      <c r="O2" s="1145"/>
      <c r="P2" s="242"/>
      <c r="Q2" s="241"/>
      <c r="R2" s="236"/>
      <c r="S2" s="1263" t="e">
        <f>INDEX(PT_DIFFERENTIATION_NUM_NTAR,MATCH(A2,PT_DIFFERENTIATION_NTAR_ID,0))</f>
        <v>#N/A</v>
      </c>
      <c r="T2" s="173" t="s">
        <v>61</v>
      </c>
      <c r="U2" s="175"/>
      <c r="V2" s="2104"/>
      <c r="W2" s="2105"/>
      <c r="X2" s="2105"/>
      <c r="Y2" s="2105"/>
      <c r="Z2" s="2105"/>
      <c r="AA2" s="2105"/>
      <c r="AB2" s="2106"/>
      <c r="AC2" s="2104" t="e">
        <f>INDEX(PT_DIFFERENTIATION_NTAR,MATCH(A2,PT_DIFFERENTIATION_NTAR_ID,0))</f>
        <v>#N/A</v>
      </c>
      <c r="AD2" s="2105"/>
      <c r="AE2" s="2105"/>
      <c r="AF2" s="2105"/>
      <c r="AG2" s="2105"/>
      <c r="AH2" s="2105"/>
      <c r="AI2" s="2105"/>
      <c r="AJ2" s="2106"/>
      <c r="AK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68"/>
      <c r="AN2" s="368" t="str">
        <f t="shared" ref="AN2:AN13" si="0">IF(T2="","",T2)</f>
        <v>Наименование тарифа</v>
      </c>
      <c r="AO2" s="368"/>
      <c r="AP2" s="368"/>
    </row>
    <row r="3" spans="1:42" ht="23.25" hidden="1" customHeight="1">
      <c r="A3" s="1143"/>
      <c r="B3" s="1143"/>
      <c r="C3" s="1143"/>
      <c r="D3" s="1143"/>
      <c r="E3" s="2112"/>
      <c r="F3" s="2111">
        <v>1</v>
      </c>
      <c r="G3" s="1143"/>
      <c r="H3" s="1143"/>
      <c r="I3" s="1143"/>
      <c r="J3" s="1143"/>
      <c r="K3" s="1143"/>
      <c r="L3" s="1144"/>
      <c r="M3" s="1145"/>
      <c r="N3" s="1145"/>
      <c r="O3" s="1145"/>
      <c r="P3" s="1257"/>
      <c r="Q3" s="233"/>
      <c r="R3" s="234"/>
      <c r="S3" s="1263" t="e">
        <f>INDEX(PT_DIFFERENTIATION_NUM_TER,MATCH(B3,PT_DIFFERENTIATION_TER_ID,0))</f>
        <v>#N/A</v>
      </c>
      <c r="T3" s="185" t="s">
        <v>323</v>
      </c>
      <c r="U3" s="175"/>
      <c r="V3" s="2104"/>
      <c r="W3" s="2105"/>
      <c r="X3" s="2105"/>
      <c r="Y3" s="2105"/>
      <c r="Z3" s="2105"/>
      <c r="AA3" s="2105"/>
      <c r="AB3" s="2106"/>
      <c r="AC3" s="2104" t="e">
        <f>INDEX(PT_DIFFERENTIATION_TER,MATCH(B3,PT_DIFFERENTIATION_TER_ID,0))</f>
        <v>#N/A</v>
      </c>
      <c r="AD3" s="2105"/>
      <c r="AE3" s="2105"/>
      <c r="AF3" s="2105"/>
      <c r="AG3" s="2105"/>
      <c r="AH3" s="2105"/>
      <c r="AI3" s="2105"/>
      <c r="AJ3" s="2106"/>
      <c r="AK3" s="1044" t="s">
        <v>324</v>
      </c>
      <c r="AM3" s="368"/>
      <c r="AN3" s="368" t="str">
        <f t="shared" si="0"/>
        <v>Территория действия тарифа</v>
      </c>
      <c r="AO3" s="368"/>
      <c r="AP3" s="368"/>
    </row>
    <row r="4" spans="1:42" ht="23.25" hidden="1" customHeight="1">
      <c r="A4" s="1143"/>
      <c r="B4" s="1143"/>
      <c r="C4" s="1143"/>
      <c r="D4" s="1143"/>
      <c r="E4" s="2112"/>
      <c r="F4" s="2112"/>
      <c r="G4" s="2111">
        <v>1</v>
      </c>
      <c r="H4" s="1143"/>
      <c r="I4" s="1143"/>
      <c r="J4" s="1143"/>
      <c r="K4" s="1143"/>
      <c r="L4" s="1144"/>
      <c r="M4" s="1145"/>
      <c r="N4" s="1145"/>
      <c r="O4" s="1145"/>
      <c r="P4" s="235"/>
      <c r="Q4" s="233"/>
      <c r="R4" s="234"/>
      <c r="S4" s="1263" t="e">
        <f>INDEX(PT_DIFFERENTIATION_NUM_CS,MATCH(C4,PT_DIFFERENTIATION_CS_ID,0))</f>
        <v>#N/A</v>
      </c>
      <c r="T4" s="186" t="s">
        <v>454</v>
      </c>
      <c r="U4" s="175"/>
      <c r="V4" s="2104"/>
      <c r="W4" s="2105"/>
      <c r="X4" s="2105"/>
      <c r="Y4" s="2105"/>
      <c r="Z4" s="2105"/>
      <c r="AA4" s="2105"/>
      <c r="AB4" s="2106"/>
      <c r="AC4" s="2104" t="e">
        <f>INDEX(PT_DIFFERENTIATION_CS,MATCH(C4,PT_DIFFERENTIATION_CS_ID,0))</f>
        <v>#N/A</v>
      </c>
      <c r="AD4" s="2105"/>
      <c r="AE4" s="2105"/>
      <c r="AF4" s="2105"/>
      <c r="AG4" s="2105"/>
      <c r="AH4" s="2105"/>
      <c r="AI4" s="2105"/>
      <c r="AJ4" s="2106"/>
      <c r="AK4" s="1044" t="s">
        <v>455</v>
      </c>
      <c r="AM4" s="368"/>
      <c r="AN4" s="368" t="str">
        <f t="shared" si="0"/>
        <v>Наименование централизованной системы горячего водоснабжения</v>
      </c>
      <c r="AO4" s="368"/>
      <c r="AP4" s="368"/>
    </row>
    <row r="5" spans="1:42" ht="23.25" hidden="1" customHeight="1">
      <c r="A5" s="1143"/>
      <c r="B5" s="1143"/>
      <c r="C5" s="1143"/>
      <c r="D5" s="1143"/>
      <c r="E5" s="2112"/>
      <c r="F5" s="2112"/>
      <c r="G5" s="2112"/>
      <c r="H5" s="2112"/>
      <c r="I5" s="2113" t="e">
        <f>S4&amp;".1"</f>
        <v>#N/A</v>
      </c>
      <c r="J5" s="1143"/>
      <c r="K5" s="1143"/>
      <c r="L5" s="1144"/>
      <c r="P5" s="2115">
        <v>1</v>
      </c>
      <c r="Q5" s="1251"/>
      <c r="R5" s="237"/>
      <c r="S5" s="1263" t="e">
        <f>$I5</f>
        <v>#N/A</v>
      </c>
      <c r="T5" s="161" t="s">
        <v>409</v>
      </c>
      <c r="U5" s="175"/>
      <c r="V5" s="2171"/>
      <c r="W5" s="2172"/>
      <c r="X5" s="2172"/>
      <c r="Y5" s="2172"/>
      <c r="Z5" s="2172"/>
      <c r="AA5" s="2172"/>
      <c r="AB5" s="2173"/>
      <c r="AC5" s="2174"/>
      <c r="AD5" s="2175"/>
      <c r="AE5" s="2175"/>
      <c r="AF5" s="2175"/>
      <c r="AG5" s="2175"/>
      <c r="AH5" s="2175"/>
      <c r="AI5" s="2175"/>
      <c r="AJ5" s="2176"/>
      <c r="AK5" s="1044" t="s">
        <v>410</v>
      </c>
      <c r="AM5" s="368"/>
      <c r="AN5" s="368" t="str">
        <f t="shared" si="0"/>
        <v>Наименование признака дифференциации</v>
      </c>
      <c r="AO5" s="368"/>
      <c r="AP5" s="368"/>
    </row>
    <row r="6" spans="1:42" ht="23.25" hidden="1" customHeight="1">
      <c r="A6" s="1143"/>
      <c r="B6" s="1143"/>
      <c r="C6" s="1143"/>
      <c r="D6" s="1143"/>
      <c r="E6" s="2112"/>
      <c r="F6" s="2112"/>
      <c r="G6" s="2112"/>
      <c r="H6" s="2112"/>
      <c r="I6" s="2114"/>
      <c r="J6" s="2113" t="e">
        <f>I5&amp;".1"</f>
        <v>#N/A</v>
      </c>
      <c r="K6" s="1143"/>
      <c r="L6" s="1144" t="s">
        <v>332</v>
      </c>
      <c r="P6" s="2115"/>
      <c r="Q6" s="2115">
        <v>1</v>
      </c>
      <c r="R6" s="238"/>
      <c r="S6" s="1263" t="e">
        <f>$J6</f>
        <v>#N/A</v>
      </c>
      <c r="T6" s="162" t="s">
        <v>333</v>
      </c>
      <c r="U6" s="175"/>
      <c r="V6" s="2098"/>
      <c r="W6" s="2099"/>
      <c r="X6" s="2099"/>
      <c r="Y6" s="2099"/>
      <c r="Z6" s="2099"/>
      <c r="AA6" s="2099"/>
      <c r="AB6" s="2100"/>
      <c r="AC6" s="2098"/>
      <c r="AD6" s="2099"/>
      <c r="AE6" s="2099"/>
      <c r="AF6" s="2099"/>
      <c r="AG6" s="2099"/>
      <c r="AH6" s="2099"/>
      <c r="AI6" s="2099"/>
      <c r="AJ6" s="2100"/>
      <c r="AK6" s="1090" t="s">
        <v>411</v>
      </c>
      <c r="AM6" s="368"/>
      <c r="AN6" s="368" t="str">
        <f t="shared" si="0"/>
        <v>Группа потребителей</v>
      </c>
      <c r="AO6" s="368"/>
      <c r="AP6" s="368"/>
    </row>
    <row r="7" spans="1:42" ht="23.25" hidden="1" customHeight="1">
      <c r="A7" s="1143"/>
      <c r="B7" s="1143"/>
      <c r="C7" s="1143"/>
      <c r="D7" s="1143"/>
      <c r="E7" s="2112"/>
      <c r="F7" s="2112"/>
      <c r="G7" s="2112"/>
      <c r="H7" s="2112"/>
      <c r="I7" s="2114"/>
      <c r="J7" s="2114"/>
      <c r="K7" s="2113" t="e">
        <f>J6&amp;".1"</f>
        <v>#N/A</v>
      </c>
      <c r="L7" s="1144"/>
      <c r="P7" s="2115"/>
      <c r="Q7" s="2115"/>
      <c r="R7" s="238">
        <v>1</v>
      </c>
      <c r="S7" s="1263" t="e">
        <f>$K7</f>
        <v>#N/A</v>
      </c>
      <c r="T7" s="1212"/>
      <c r="U7" s="175"/>
      <c r="V7" s="576"/>
      <c r="W7" s="576"/>
      <c r="X7" s="1043"/>
      <c r="Y7" s="2116"/>
      <c r="Z7" s="2109" t="s">
        <v>16</v>
      </c>
      <c r="AA7" s="2116"/>
      <c r="AB7" s="2109" t="s">
        <v>16</v>
      </c>
      <c r="AC7" s="576"/>
      <c r="AD7" s="576"/>
      <c r="AE7" s="1043"/>
      <c r="AF7" s="2116"/>
      <c r="AG7" s="2109" t="s">
        <v>16</v>
      </c>
      <c r="AH7" s="2118"/>
      <c r="AI7" s="2109" t="s">
        <v>16</v>
      </c>
      <c r="AJ7" s="1213"/>
      <c r="AK7"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79" t="e">
        <f ca="1">STRCHECKDATE(V8:AJ8)</f>
        <v>#NAME?</v>
      </c>
      <c r="AM7" s="368"/>
      <c r="AN7" s="368" t="str">
        <f t="shared" si="0"/>
        <v/>
      </c>
      <c r="AO7" s="368"/>
      <c r="AP7" s="368"/>
    </row>
    <row r="8" spans="1:42" ht="14.25" hidden="1" customHeight="1">
      <c r="A8" s="1143"/>
      <c r="B8" s="1143"/>
      <c r="C8" s="1143"/>
      <c r="D8" s="1143"/>
      <c r="E8" s="2112"/>
      <c r="F8" s="2112"/>
      <c r="G8" s="2112"/>
      <c r="H8" s="2112"/>
      <c r="I8" s="2114"/>
      <c r="J8" s="2114"/>
      <c r="K8" s="2113"/>
      <c r="L8" s="1144"/>
      <c r="P8" s="2115"/>
      <c r="Q8" s="2115"/>
      <c r="R8" s="238"/>
      <c r="S8" s="1260"/>
      <c r="T8" s="175"/>
      <c r="U8" s="175"/>
      <c r="V8" s="207"/>
      <c r="W8" s="207"/>
      <c r="X8" s="211" t="str">
        <f>Y7&amp;"-"&amp;AA7</f>
        <v>-</v>
      </c>
      <c r="Y8" s="2117"/>
      <c r="Z8" s="2109"/>
      <c r="AA8" s="2117"/>
      <c r="AB8" s="2109"/>
      <c r="AC8" s="207"/>
      <c r="AD8" s="207"/>
      <c r="AE8" s="211" t="str">
        <f>AF7&amp;"-"&amp;AH7</f>
        <v>-</v>
      </c>
      <c r="AF8" s="2117"/>
      <c r="AG8" s="2109"/>
      <c r="AH8" s="2119"/>
      <c r="AI8" s="2109"/>
      <c r="AJ8" s="1214"/>
      <c r="AK8" s="2177"/>
      <c r="AM8" s="368"/>
      <c r="AN8" s="368" t="str">
        <f t="shared" si="0"/>
        <v/>
      </c>
      <c r="AO8" s="368"/>
      <c r="AP8" s="368"/>
    </row>
    <row r="9" spans="1:42" ht="21" hidden="1" customHeight="1">
      <c r="A9" s="1143"/>
      <c r="B9" s="1143"/>
      <c r="C9" s="1143"/>
      <c r="D9" s="1143"/>
      <c r="E9" s="2112"/>
      <c r="F9" s="2112"/>
      <c r="G9" s="2112"/>
      <c r="H9" s="2112"/>
      <c r="I9" s="2114"/>
      <c r="J9" s="2113"/>
      <c r="K9" s="1143"/>
      <c r="L9" s="1144"/>
      <c r="P9" s="2115"/>
      <c r="Q9" s="2115"/>
      <c r="R9" s="237"/>
      <c r="S9" s="1062"/>
      <c r="T9" s="163" t="s">
        <v>412</v>
      </c>
      <c r="U9" s="251"/>
      <c r="V9" s="251"/>
      <c r="W9" s="251"/>
      <c r="X9" s="251"/>
      <c r="Y9" s="251"/>
      <c r="Z9" s="251"/>
      <c r="AA9" s="251"/>
      <c r="AB9" s="251"/>
      <c r="AC9" s="251"/>
      <c r="AD9" s="251"/>
      <c r="AE9" s="251"/>
      <c r="AF9" s="251"/>
      <c r="AG9" s="251"/>
      <c r="AH9" s="251"/>
      <c r="AI9" s="251"/>
      <c r="AJ9" s="251"/>
      <c r="AK9" s="1044" t="s">
        <v>413</v>
      </c>
      <c r="AM9" s="368"/>
      <c r="AN9" s="368" t="str">
        <f t="shared" si="0"/>
        <v>Добавить значение признака дифференциации</v>
      </c>
      <c r="AO9" s="368"/>
      <c r="AP9" s="368"/>
    </row>
    <row r="10" spans="1:42" ht="21" hidden="1" customHeight="1">
      <c r="A10" s="1143"/>
      <c r="B10" s="1143"/>
      <c r="C10" s="1143"/>
      <c r="D10" s="1143"/>
      <c r="E10" s="2112"/>
      <c r="F10" s="2112"/>
      <c r="G10" s="2112"/>
      <c r="H10" s="2112"/>
      <c r="I10" s="2113"/>
      <c r="J10" s="1143"/>
      <c r="K10" s="1143"/>
      <c r="L10" s="1144"/>
      <c r="P10" s="2115"/>
      <c r="Q10" s="1251"/>
      <c r="R10" s="237"/>
      <c r="S10" s="1062"/>
      <c r="T10" s="248" t="s">
        <v>338</v>
      </c>
      <c r="U10" s="251"/>
      <c r="V10" s="251"/>
      <c r="W10" s="251"/>
      <c r="X10" s="251"/>
      <c r="Y10" s="251"/>
      <c r="Z10" s="251"/>
      <c r="AA10" s="251"/>
      <c r="AB10" s="250"/>
      <c r="AC10" s="251"/>
      <c r="AD10" s="251"/>
      <c r="AE10" s="251"/>
      <c r="AF10" s="251"/>
      <c r="AG10" s="251"/>
      <c r="AH10" s="251"/>
      <c r="AI10" s="250"/>
      <c r="AJ10" s="251"/>
      <c r="AK10" s="1215"/>
      <c r="AM10" s="368"/>
      <c r="AN10" s="368" t="str">
        <f t="shared" si="0"/>
        <v>Добавить группу потребителей</v>
      </c>
      <c r="AO10" s="368"/>
      <c r="AP10" s="368"/>
    </row>
    <row r="11" spans="1:42" ht="21" hidden="1" customHeight="1">
      <c r="A11" s="1143"/>
      <c r="B11" s="1143"/>
      <c r="C11" s="1143"/>
      <c r="D11" s="1143"/>
      <c r="E11" s="2112"/>
      <c r="F11" s="2112"/>
      <c r="G11" s="2112"/>
      <c r="H11" s="2111"/>
      <c r="I11" s="1143"/>
      <c r="J11" s="1143"/>
      <c r="K11" s="1143"/>
      <c r="L11" s="1144"/>
      <c r="M11" s="1145"/>
      <c r="N11" s="1145"/>
      <c r="O11" s="395"/>
      <c r="P11" s="241"/>
      <c r="Q11" s="260"/>
      <c r="R11" s="236"/>
      <c r="S11" s="1062"/>
      <c r="T11" s="256" t="s">
        <v>414</v>
      </c>
      <c r="U11" s="251"/>
      <c r="V11" s="251"/>
      <c r="W11" s="251"/>
      <c r="X11" s="251"/>
      <c r="Y11" s="251"/>
      <c r="Z11" s="251"/>
      <c r="AA11" s="251"/>
      <c r="AB11" s="250"/>
      <c r="AC11" s="251"/>
      <c r="AD11" s="251"/>
      <c r="AE11" s="251"/>
      <c r="AF11" s="251"/>
      <c r="AG11" s="251"/>
      <c r="AH11" s="251"/>
      <c r="AI11" s="250"/>
      <c r="AJ11" s="251"/>
      <c r="AK11" s="178"/>
      <c r="AM11" s="368"/>
      <c r="AN11" s="368" t="str">
        <f t="shared" si="0"/>
        <v>Добавить наименование признака дифференциации</v>
      </c>
      <c r="AO11" s="368"/>
      <c r="AP11" s="368"/>
    </row>
    <row r="12" spans="1:42" s="1686" customFormat="1" ht="14.25" hidden="1" customHeight="1">
      <c r="A12" s="1124"/>
      <c r="B12" s="1124"/>
      <c r="C12" s="1096"/>
      <c r="D12" s="1096"/>
      <c r="E12" s="2112"/>
      <c r="F12" s="2111"/>
      <c r="G12" s="1096"/>
      <c r="H12" s="1096"/>
      <c r="I12" s="1096"/>
      <c r="J12" s="1096"/>
      <c r="K12" s="1096"/>
      <c r="L12" s="1264"/>
      <c r="M12" s="1103"/>
      <c r="N12" s="1103"/>
      <c r="P12" s="1098"/>
      <c r="Q12" s="1099"/>
      <c r="R12" s="1098"/>
      <c r="S12" s="1104"/>
      <c r="T12" s="1107" t="s">
        <v>341</v>
      </c>
      <c r="U12" s="1106"/>
      <c r="V12" s="1106"/>
      <c r="W12" s="1106"/>
      <c r="X12" s="1106"/>
      <c r="Y12" s="1106"/>
      <c r="Z12" s="1106"/>
      <c r="AA12" s="1106"/>
      <c r="AB12" s="1106"/>
      <c r="AC12" s="1106"/>
      <c r="AD12" s="1106"/>
      <c r="AE12" s="1106"/>
      <c r="AF12" s="1106"/>
      <c r="AG12" s="1106"/>
      <c r="AH12" s="1106"/>
      <c r="AI12" s="1106"/>
      <c r="AJ12" s="1106"/>
      <c r="AK12" s="1106"/>
      <c r="AM12" s="598"/>
      <c r="AN12" s="598" t="str">
        <f t="shared" si="0"/>
        <v>Добавить централизованную систему для дифференциации</v>
      </c>
      <c r="AO12" s="598"/>
      <c r="AP12" s="598"/>
    </row>
    <row r="13" spans="1:42" s="1622" customFormat="1" ht="14.25" hidden="1" customHeight="1">
      <c r="A13" s="1124"/>
      <c r="B13" s="1124"/>
      <c r="C13" s="1124"/>
      <c r="D13" s="1124"/>
      <c r="E13" s="2111"/>
      <c r="F13" s="1124"/>
      <c r="G13" s="1124"/>
      <c r="H13" s="1124"/>
      <c r="I13" s="1124"/>
      <c r="J13" s="1124"/>
      <c r="K13" s="1124"/>
      <c r="L13" s="1127"/>
      <c r="M13" s="1103"/>
      <c r="N13" s="1103"/>
      <c r="O13" s="386"/>
      <c r="P13" s="269"/>
      <c r="Q13" s="1125"/>
      <c r="R13" s="269"/>
      <c r="S13" s="1104"/>
      <c r="T13" s="1107" t="s">
        <v>342</v>
      </c>
      <c r="U13" s="1106"/>
      <c r="V13" s="1106"/>
      <c r="W13" s="1106"/>
      <c r="X13" s="1106"/>
      <c r="Y13" s="1106"/>
      <c r="Z13" s="1106"/>
      <c r="AA13" s="1106"/>
      <c r="AB13" s="1106"/>
      <c r="AC13" s="1106"/>
      <c r="AD13" s="1106"/>
      <c r="AE13" s="1106"/>
      <c r="AF13" s="1106"/>
      <c r="AG13" s="1106"/>
      <c r="AH13" s="1106"/>
      <c r="AI13" s="1106"/>
      <c r="AJ13" s="1106"/>
      <c r="AK13" s="1106"/>
      <c r="AM13" s="368"/>
      <c r="AN13" s="368" t="str">
        <f t="shared" si="0"/>
        <v>Добавить территорию для дифференциации</v>
      </c>
      <c r="AO13" s="368"/>
      <c r="AP13" s="368"/>
    </row>
    <row r="14" spans="1:42" ht="14.25" hidden="1" customHeight="1">
      <c r="AB14" s="210"/>
      <c r="AI14" s="210"/>
    </row>
    <row r="15" spans="1:42" ht="14.25" hidden="1" customHeight="1">
      <c r="AC15" s="1140"/>
      <c r="AD15" s="1140"/>
      <c r="AE15" s="1141"/>
      <c r="AF15" s="2108"/>
      <c r="AG15" s="2107" t="s">
        <v>16</v>
      </c>
      <c r="AH15" s="2108"/>
      <c r="AI15" s="2107" t="s">
        <v>16</v>
      </c>
    </row>
    <row r="16" spans="1:42" ht="14.25" hidden="1" customHeight="1">
      <c r="AC16" s="1140"/>
      <c r="AD16" s="1140"/>
      <c r="AE16" s="211" t="str">
        <f>AF15&amp;"-"&amp;AH15</f>
        <v>-</v>
      </c>
      <c r="AF16" s="2107"/>
      <c r="AG16" s="2107"/>
      <c r="AH16" s="2107"/>
      <c r="AI16" s="2107"/>
    </row>
    <row r="17" spans="1:42" ht="14.25" hidden="1" customHeight="1">
      <c r="AI17" s="210"/>
    </row>
    <row r="18" spans="1:42" s="1687" customFormat="1" ht="22.5" hidden="1" customHeight="1">
      <c r="L18" s="1248"/>
      <c r="M18" s="1142"/>
      <c r="N18" s="1142"/>
      <c r="O18" s="1147" t="s">
        <v>343</v>
      </c>
      <c r="P18" s="1142"/>
      <c r="Q18" s="1151"/>
      <c r="R18" s="1151"/>
      <c r="S18" s="556"/>
      <c r="Y18" s="1147"/>
      <c r="AA18" s="1147"/>
      <c r="AB18" s="1146"/>
      <c r="AF18" s="1147"/>
      <c r="AH18" s="1147"/>
      <c r="AI18" s="1146"/>
      <c r="AL18" s="379"/>
      <c r="AM18" s="379"/>
      <c r="AN18" s="379"/>
      <c r="AO18" s="379"/>
      <c r="AP18" s="379"/>
    </row>
    <row r="19" spans="1:42" s="1687" customFormat="1" ht="14.25" hidden="1" customHeight="1">
      <c r="L19" s="1248"/>
      <c r="M19" s="1142"/>
      <c r="N19" s="1142"/>
      <c r="O19" s="1142"/>
      <c r="P19" s="1142"/>
      <c r="Q19" s="1151"/>
      <c r="R19" s="1151"/>
      <c r="S19" s="556"/>
      <c r="AB19" s="1146"/>
      <c r="AI19" s="1146"/>
      <c r="AL19" s="379"/>
      <c r="AM19" s="379"/>
      <c r="AN19" s="379"/>
      <c r="AO19" s="379"/>
      <c r="AP19" s="379"/>
    </row>
    <row r="20" spans="1:42" s="1687" customFormat="1" ht="12" hidden="1" customHeight="1">
      <c r="L20" s="1248"/>
      <c r="M20" s="1142"/>
      <c r="N20" s="1142"/>
      <c r="O20" s="1144" t="s">
        <v>344</v>
      </c>
      <c r="P20" s="1142"/>
      <c r="Q20" s="1216"/>
      <c r="R20" s="1216"/>
      <c r="S20" s="556"/>
      <c r="T20" s="929" t="s">
        <v>345</v>
      </c>
      <c r="Z20" s="86" t="s">
        <v>346</v>
      </c>
      <c r="AB20" s="86" t="s">
        <v>347</v>
      </c>
      <c r="AC20" s="929" t="s">
        <v>345</v>
      </c>
      <c r="AG20" s="86" t="s">
        <v>348</v>
      </c>
      <c r="AI20" s="86" t="s">
        <v>347</v>
      </c>
    </row>
    <row r="21" spans="1:42" ht="14.25" hidden="1" customHeight="1">
      <c r="O21" s="1144"/>
    </row>
    <row r="22" spans="1:42" ht="14.25" hidden="1" customHeight="1">
      <c r="O22" s="1144"/>
    </row>
    <row r="23" spans="1:42" ht="14.25" customHeight="1">
      <c r="Q23" s="261"/>
      <c r="R23" s="261"/>
      <c r="S23" s="1059"/>
      <c r="T23" s="246"/>
      <c r="U23" s="246"/>
      <c r="V23" s="377"/>
      <c r="W23" s="377"/>
      <c r="X23" s="377"/>
      <c r="Y23" s="377"/>
      <c r="Z23" s="377"/>
      <c r="AA23" s="377"/>
      <c r="AB23" s="377"/>
      <c r="AC23" s="377"/>
      <c r="AD23" s="377"/>
      <c r="AE23" s="377"/>
      <c r="AF23" s="377"/>
      <c r="AG23" s="377"/>
      <c r="AH23" s="377"/>
      <c r="AI23" s="377"/>
    </row>
    <row r="24" spans="1:42" ht="29.25" customHeight="1">
      <c r="Q24" s="261"/>
      <c r="R24" s="261"/>
      <c r="S24" s="208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88"/>
      <c r="U24" s="2088"/>
      <c r="V24" s="2088"/>
      <c r="W24" s="2088"/>
      <c r="X24" s="2088"/>
      <c r="Y24" s="2088"/>
      <c r="Z24" s="2088"/>
      <c r="AA24" s="2088"/>
      <c r="AB24" s="2088"/>
      <c r="AC24" s="2088"/>
      <c r="AD24" s="2088"/>
      <c r="AE24" s="2088"/>
      <c r="AF24" s="2088"/>
      <c r="AG24" s="2088"/>
      <c r="AH24" s="2088"/>
      <c r="AI24" s="1019"/>
    </row>
    <row r="25" spans="1:42" ht="14.25" customHeight="1">
      <c r="Q25" s="261"/>
      <c r="R25" s="261"/>
      <c r="S25" s="2059" t="e">
        <f>IF(org=0,"Не определено",org)</f>
        <v>#REF!</v>
      </c>
      <c r="T25" s="2059"/>
      <c r="U25" s="2059"/>
      <c r="V25" s="2059"/>
      <c r="W25" s="2059"/>
      <c r="X25" s="2059"/>
      <c r="Y25" s="2059"/>
      <c r="Z25" s="2059"/>
      <c r="AA25" s="2059"/>
      <c r="AB25" s="2059"/>
      <c r="AC25" s="2059"/>
      <c r="AD25" s="2059"/>
      <c r="AE25" s="2059"/>
      <c r="AF25" s="2059"/>
      <c r="AG25" s="2059"/>
      <c r="AH25" s="2059"/>
      <c r="AI25" s="1019"/>
    </row>
    <row r="26" spans="1:42" ht="14.25" hidden="1" customHeight="1">
      <c r="Q26" s="261"/>
      <c r="R26" s="261"/>
      <c r="S26" s="1059"/>
      <c r="T26" s="246"/>
      <c r="U26" s="246"/>
      <c r="V26" s="203"/>
      <c r="W26" s="203"/>
      <c r="X26" s="203"/>
      <c r="Y26" s="203"/>
      <c r="Z26" s="203"/>
      <c r="AA26" s="203"/>
      <c r="AB26" s="203"/>
      <c r="AC26" s="203"/>
      <c r="AD26" s="203"/>
      <c r="AE26" s="203"/>
      <c r="AF26" s="203"/>
      <c r="AG26" s="203"/>
      <c r="AH26" s="203"/>
      <c r="AI26" s="203"/>
      <c r="AJ26" s="377"/>
    </row>
    <row r="27" spans="1:42" s="1692" customFormat="1" ht="25.5" hidden="1" customHeight="1">
      <c r="A27" s="1148"/>
      <c r="B27" s="1148"/>
      <c r="C27" s="1148"/>
      <c r="D27" s="1148"/>
      <c r="E27" s="1148"/>
      <c r="F27" s="1148"/>
      <c r="G27" s="1148"/>
      <c r="H27" s="1148"/>
      <c r="I27" s="1148"/>
      <c r="J27" s="1148"/>
      <c r="K27" s="1148"/>
      <c r="L27" s="1149"/>
      <c r="M27" s="1148"/>
      <c r="N27" s="1148"/>
      <c r="O27" s="1148"/>
      <c r="S27" s="2101" t="s">
        <v>6</v>
      </c>
      <c r="T27" s="2101"/>
      <c r="U27" s="1152"/>
      <c r="V27" s="2103" t="e">
        <f>IF(TITLE_NAME_OR_PR_CHANGE="",IF(TITLE_NAME_OR_PR="","",TITLE_NAME_OR_PR),TITLE_NAME_OR_PR_CHANGE)</f>
        <v>#REF!</v>
      </c>
      <c r="W27" s="2103"/>
      <c r="X27" s="2103"/>
      <c r="Y27" s="2103"/>
      <c r="Z27" s="2103"/>
      <c r="AA27" s="2103"/>
      <c r="AB27" s="209"/>
      <c r="AC27" s="2103" t="e">
        <f>IF(TITLE_NAME_OR_PR_CHANGE="",IF(TITLE_NAME_OR_PR="","",TITLE_NAME_OR_PR),TITLE_NAME_OR_PR_CHANGE)</f>
        <v>#REF!</v>
      </c>
      <c r="AD27" s="2103"/>
      <c r="AE27" s="2103"/>
      <c r="AF27" s="2103"/>
      <c r="AG27" s="2103"/>
      <c r="AH27" s="2103"/>
      <c r="AI27" s="209"/>
      <c r="AJ27" s="209"/>
      <c r="AK27" s="157"/>
      <c r="AL27" s="252"/>
      <c r="AM27" s="252"/>
      <c r="AN27" s="252"/>
      <c r="AO27" s="252"/>
      <c r="AP27" s="252"/>
    </row>
    <row r="28" spans="1:42" s="1692" customFormat="1" ht="18.75" hidden="1" customHeight="1">
      <c r="A28" s="1148"/>
      <c r="B28" s="1148"/>
      <c r="C28" s="1148"/>
      <c r="D28" s="1148"/>
      <c r="E28" s="1148"/>
      <c r="F28" s="1148"/>
      <c r="G28" s="1148"/>
      <c r="H28" s="1148"/>
      <c r="I28" s="1148"/>
      <c r="J28" s="1148"/>
      <c r="K28" s="1148"/>
      <c r="L28" s="1149"/>
      <c r="M28" s="1148"/>
      <c r="N28" s="1148"/>
      <c r="O28" s="1148"/>
      <c r="S28" s="2101" t="s">
        <v>349</v>
      </c>
      <c r="T28" s="2101"/>
      <c r="U28" s="1152"/>
      <c r="V28" s="2102" t="e">
        <f>IF(TITLE_DATE_PR_CHANGE="",IF(TITLE_DATE_PR="","",TITLE_DATE_PR),TITLE_DATE_PR_CHANGE)</f>
        <v>#REF!</v>
      </c>
      <c r="W28" s="2102"/>
      <c r="X28" s="2102"/>
      <c r="Y28" s="2102"/>
      <c r="Z28" s="2102"/>
      <c r="AA28" s="2102"/>
      <c r="AB28" s="209"/>
      <c r="AC28" s="2102" t="e">
        <f>IF(TITLE_DATE_PR_CHANGE="",IF(TITLE_DATE_PR="","",TITLE_DATE_PR),TITLE_DATE_PR_CHANGE)</f>
        <v>#REF!</v>
      </c>
      <c r="AD28" s="2102"/>
      <c r="AE28" s="2102"/>
      <c r="AF28" s="2102"/>
      <c r="AG28" s="2102"/>
      <c r="AH28" s="2102"/>
      <c r="AI28" s="209"/>
      <c r="AJ28" s="209"/>
      <c r="AK28" s="157"/>
      <c r="AL28" s="252"/>
      <c r="AM28" s="252"/>
      <c r="AN28" s="252"/>
      <c r="AO28" s="252"/>
      <c r="AP28" s="252"/>
    </row>
    <row r="29" spans="1:42" s="1692" customFormat="1" ht="18.75" hidden="1" customHeight="1">
      <c r="A29" s="1148"/>
      <c r="B29" s="1148"/>
      <c r="C29" s="1148"/>
      <c r="D29" s="1148"/>
      <c r="E29" s="1148"/>
      <c r="F29" s="1148"/>
      <c r="G29" s="1148"/>
      <c r="H29" s="1148"/>
      <c r="I29" s="1148"/>
      <c r="J29" s="1148"/>
      <c r="K29" s="1148"/>
      <c r="L29" s="1149"/>
      <c r="M29" s="1148"/>
      <c r="N29" s="1148"/>
      <c r="O29" s="1148"/>
      <c r="S29" s="2101" t="s">
        <v>350</v>
      </c>
      <c r="T29" s="2101"/>
      <c r="U29" s="1152"/>
      <c r="V29" s="2103" t="e">
        <f>IF(TITLE_NUMBER_PR_CHANGE="",IF(TITLE_NUMBER_PR="","",TITLE_NUMBER_PR),TITLE_NUMBER_PR_CHANGE)</f>
        <v>#REF!</v>
      </c>
      <c r="W29" s="2103"/>
      <c r="X29" s="2103"/>
      <c r="Y29" s="2103"/>
      <c r="Z29" s="2103"/>
      <c r="AA29" s="2103"/>
      <c r="AB29" s="209"/>
      <c r="AC29" s="2103" t="e">
        <f>IF(TITLE_NUMBER_PR_CHANGE="",IF(TITLE_NUMBER_PR="","",TITLE_NUMBER_PR),TITLE_NUMBER_PR_CHANGE)</f>
        <v>#REF!</v>
      </c>
      <c r="AD29" s="2103"/>
      <c r="AE29" s="2103"/>
      <c r="AF29" s="2103"/>
      <c r="AG29" s="2103"/>
      <c r="AH29" s="2103"/>
      <c r="AI29" s="209"/>
      <c r="AJ29" s="209"/>
      <c r="AK29" s="157"/>
      <c r="AL29" s="252"/>
      <c r="AM29" s="252"/>
      <c r="AN29" s="252"/>
      <c r="AO29" s="252"/>
      <c r="AP29" s="252"/>
    </row>
    <row r="30" spans="1:42" s="1692" customFormat="1" ht="18.75" hidden="1" customHeight="1">
      <c r="A30" s="1148"/>
      <c r="B30" s="1148"/>
      <c r="C30" s="1148"/>
      <c r="D30" s="1148"/>
      <c r="E30" s="1148"/>
      <c r="F30" s="1148"/>
      <c r="G30" s="1148"/>
      <c r="H30" s="1148"/>
      <c r="I30" s="1148"/>
      <c r="J30" s="1148"/>
      <c r="K30" s="1148"/>
      <c r="L30" s="1149"/>
      <c r="M30" s="1148"/>
      <c r="N30" s="1148"/>
      <c r="O30" s="1148"/>
      <c r="S30" s="2101" t="s">
        <v>7</v>
      </c>
      <c r="T30" s="2101"/>
      <c r="U30" s="1152"/>
      <c r="V30" s="2103" t="e">
        <f>IF(TITLE_IST_PUB_CHANGE="",IF(TITLE_IST_PUB="","",TITLE_IST_PUB),TITLE_IST_PUB_CHANGE)</f>
        <v>#REF!</v>
      </c>
      <c r="W30" s="2103"/>
      <c r="X30" s="2103"/>
      <c r="Y30" s="2103"/>
      <c r="Z30" s="2103"/>
      <c r="AA30" s="2103"/>
      <c r="AB30" s="209"/>
      <c r="AC30" s="2103" t="e">
        <f>IF(TITLE_IST_PUB_CHANGE="",IF(TITLE_IST_PUB="","",TITLE_IST_PUB),TITLE_IST_PUB_CHANGE)</f>
        <v>#REF!</v>
      </c>
      <c r="AD30" s="2103"/>
      <c r="AE30" s="2103"/>
      <c r="AF30" s="2103"/>
      <c r="AG30" s="2103"/>
      <c r="AH30" s="2103"/>
      <c r="AI30" s="209"/>
      <c r="AJ30" s="209"/>
      <c r="AK30" s="157"/>
      <c r="AL30" s="252"/>
      <c r="AM30" s="252"/>
      <c r="AN30" s="252"/>
      <c r="AO30" s="252"/>
      <c r="AP30" s="252"/>
    </row>
    <row r="31" spans="1:42" ht="14.25" hidden="1" customHeight="1">
      <c r="Q31" s="261"/>
      <c r="R31" s="261"/>
      <c r="S31" s="1059"/>
      <c r="T31" s="246"/>
      <c r="U31" s="246"/>
      <c r="V31" s="203"/>
      <c r="W31" s="203"/>
      <c r="X31" s="203"/>
      <c r="Y31" s="203"/>
      <c r="Z31" s="203"/>
      <c r="AA31" s="203"/>
      <c r="AB31" s="203"/>
      <c r="AC31" s="203"/>
      <c r="AD31" s="203"/>
      <c r="AE31" s="203"/>
      <c r="AF31" s="203"/>
      <c r="AG31" s="203"/>
      <c r="AH31" s="203"/>
      <c r="AI31" s="203"/>
      <c r="AJ31" s="377"/>
    </row>
    <row r="32" spans="1:42" s="1692" customFormat="1" ht="18.75" hidden="1" customHeight="1">
      <c r="A32" s="1148"/>
      <c r="B32" s="1148"/>
      <c r="C32" s="1148"/>
      <c r="D32" s="1148"/>
      <c r="E32" s="1148"/>
      <c r="F32" s="1148"/>
      <c r="G32" s="1148"/>
      <c r="H32" s="1148"/>
      <c r="I32" s="1148"/>
      <c r="J32" s="1148"/>
      <c r="K32" s="1148"/>
      <c r="L32" s="1149"/>
      <c r="M32" s="1148"/>
      <c r="N32" s="1148"/>
      <c r="O32" s="1148"/>
      <c r="S32" s="2101" t="s">
        <v>351</v>
      </c>
      <c r="T32" s="2101"/>
      <c r="U32" s="1152"/>
      <c r="V32" s="2102" t="e">
        <f>IF(TITLE_DATE_PR_CHANGE="",IF(TITLE_DATE_PR="","",TITLE_DATE_PR),TITLE_DATE_PR_CHANGE)</f>
        <v>#REF!</v>
      </c>
      <c r="W32" s="2102"/>
      <c r="X32" s="2102"/>
      <c r="Y32" s="2102"/>
      <c r="Z32" s="2102"/>
      <c r="AA32" s="2102"/>
      <c r="AB32" s="209"/>
      <c r="AC32" s="2102" t="e">
        <f>IF(TITLE_DATE_PR_CHANGE="",IF(TITLE_DATE_PR="","",TITLE_DATE_PR),TITLE_DATE_PR_CHANGE)</f>
        <v>#REF!</v>
      </c>
      <c r="AD32" s="2102"/>
      <c r="AE32" s="2102"/>
      <c r="AF32" s="2102"/>
      <c r="AG32" s="2102"/>
      <c r="AH32" s="2102"/>
      <c r="AI32" s="209"/>
      <c r="AJ32" s="209"/>
      <c r="AK32" s="157"/>
      <c r="AL32" s="252"/>
      <c r="AM32" s="252"/>
      <c r="AN32" s="252"/>
      <c r="AO32" s="252"/>
      <c r="AP32" s="252"/>
    </row>
    <row r="33" spans="1:42" s="1692" customFormat="1" ht="18.75" hidden="1" customHeight="1">
      <c r="A33" s="1148"/>
      <c r="B33" s="1148"/>
      <c r="C33" s="1148"/>
      <c r="D33" s="1148"/>
      <c r="E33" s="1148"/>
      <c r="F33" s="1148"/>
      <c r="G33" s="1148"/>
      <c r="H33" s="1148"/>
      <c r="I33" s="1148"/>
      <c r="J33" s="1148"/>
      <c r="K33" s="1148"/>
      <c r="L33" s="1149"/>
      <c r="M33" s="1148"/>
      <c r="N33" s="1148"/>
      <c r="O33" s="1148"/>
      <c r="S33" s="2101" t="s">
        <v>352</v>
      </c>
      <c r="T33" s="2101"/>
      <c r="U33" s="1152"/>
      <c r="V33" s="2103" t="e">
        <f>IF(TITLE_NUMBER_PR_CHANGE="",IF(TITLE_NUMBER_PR="","",TITLE_NUMBER_PR),TITLE_NUMBER_PR_CHANGE)</f>
        <v>#REF!</v>
      </c>
      <c r="W33" s="2103"/>
      <c r="X33" s="2103"/>
      <c r="Y33" s="2103"/>
      <c r="Z33" s="2103"/>
      <c r="AA33" s="2103"/>
      <c r="AB33" s="209"/>
      <c r="AC33" s="2103" t="e">
        <f>IF(TITLE_NUMBER_PR_CHANGE="",IF(TITLE_NUMBER_PR="","",TITLE_NUMBER_PR),TITLE_NUMBER_PR_CHANGE)</f>
        <v>#REF!</v>
      </c>
      <c r="AD33" s="2103"/>
      <c r="AE33" s="2103"/>
      <c r="AF33" s="2103"/>
      <c r="AG33" s="2103"/>
      <c r="AH33" s="2103"/>
      <c r="AI33" s="209"/>
      <c r="AJ33" s="209"/>
      <c r="AK33" s="157"/>
      <c r="AL33" s="252"/>
      <c r="AM33" s="252"/>
      <c r="AN33" s="252"/>
      <c r="AO33" s="252"/>
      <c r="AP33" s="252"/>
    </row>
    <row r="34" spans="1:42" s="1692" customFormat="1" ht="0.75" customHeight="1">
      <c r="A34" s="1148"/>
      <c r="B34" s="1148"/>
      <c r="C34" s="1148"/>
      <c r="D34" s="1148"/>
      <c r="E34" s="1148"/>
      <c r="F34" s="1148"/>
      <c r="G34" s="1148"/>
      <c r="H34" s="1148"/>
      <c r="I34" s="1148"/>
      <c r="J34" s="1148"/>
      <c r="K34" s="1148"/>
      <c r="L34" s="1149"/>
      <c r="M34" s="1148"/>
      <c r="N34" s="1148"/>
      <c r="O34" s="1148"/>
      <c r="S34" s="205"/>
      <c r="T34" s="205"/>
      <c r="U34" s="1258"/>
      <c r="V34" s="209"/>
      <c r="W34" s="209"/>
      <c r="X34" s="209"/>
      <c r="Y34" s="209"/>
      <c r="Z34" s="209"/>
      <c r="AA34" s="209"/>
      <c r="AB34" s="155" t="s">
        <v>353</v>
      </c>
      <c r="AC34" s="209"/>
      <c r="AD34" s="209"/>
      <c r="AE34" s="209"/>
      <c r="AF34" s="209"/>
      <c r="AG34" s="209"/>
      <c r="AH34" s="209"/>
      <c r="AI34" s="155" t="s">
        <v>353</v>
      </c>
      <c r="AL34" s="252"/>
      <c r="AM34" s="252"/>
      <c r="AN34" s="252"/>
      <c r="AO34" s="252"/>
      <c r="AP34" s="252"/>
    </row>
    <row r="35" spans="1:42" ht="14.25" customHeight="1">
      <c r="Q35" s="261"/>
      <c r="R35" s="261"/>
      <c r="S35" s="1059"/>
      <c r="T35" s="246"/>
      <c r="U35" s="1020"/>
      <c r="V35" s="2123"/>
      <c r="W35" s="2123"/>
      <c r="X35" s="2123"/>
      <c r="Y35" s="2123"/>
      <c r="Z35" s="2123"/>
      <c r="AA35" s="2123"/>
      <c r="AB35" s="2123"/>
      <c r="AC35" s="2123"/>
      <c r="AD35" s="2123"/>
      <c r="AE35" s="2123"/>
      <c r="AF35" s="2123"/>
      <c r="AG35" s="2123"/>
      <c r="AH35" s="2123"/>
      <c r="AI35" s="2123"/>
    </row>
    <row r="36" spans="1:42" ht="14.25" customHeight="1">
      <c r="Q36" s="261"/>
      <c r="R36" s="261"/>
      <c r="S36" s="2025" t="s">
        <v>224</v>
      </c>
      <c r="T36" s="2025"/>
      <c r="U36" s="2025"/>
      <c r="V36" s="2025"/>
      <c r="W36" s="2025"/>
      <c r="X36" s="2025"/>
      <c r="Y36" s="2025"/>
      <c r="Z36" s="2025"/>
      <c r="AA36" s="2025"/>
      <c r="AB36" s="2025"/>
      <c r="AC36" s="2025"/>
      <c r="AD36" s="2025"/>
      <c r="AE36" s="2025"/>
      <c r="AF36" s="2025"/>
      <c r="AG36" s="2025"/>
      <c r="AH36" s="2025"/>
      <c r="AI36" s="2025"/>
      <c r="AJ36" s="2025"/>
      <c r="AK36" s="2025" t="s">
        <v>225</v>
      </c>
    </row>
    <row r="37" spans="1:42" ht="14.25" customHeight="1">
      <c r="Q37" s="261"/>
      <c r="R37" s="261"/>
      <c r="S37" s="2124" t="s">
        <v>22</v>
      </c>
      <c r="T37" s="2068" t="s">
        <v>354</v>
      </c>
      <c r="U37" s="176"/>
      <c r="V37" s="2125" t="s">
        <v>355</v>
      </c>
      <c r="W37" s="2126"/>
      <c r="X37" s="2126"/>
      <c r="Y37" s="2126"/>
      <c r="Z37" s="2126"/>
      <c r="AA37" s="2127"/>
      <c r="AB37" s="2128" t="s">
        <v>356</v>
      </c>
      <c r="AC37" s="2125" t="s">
        <v>355</v>
      </c>
      <c r="AD37" s="2126"/>
      <c r="AE37" s="2126"/>
      <c r="AF37" s="2126"/>
      <c r="AG37" s="2126"/>
      <c r="AH37" s="2127"/>
      <c r="AI37" s="2128" t="s">
        <v>357</v>
      </c>
      <c r="AJ37" s="2131" t="s">
        <v>358</v>
      </c>
      <c r="AK37" s="2025"/>
    </row>
    <row r="38" spans="1:42" ht="33.75" customHeight="1">
      <c r="Q38" s="261"/>
      <c r="R38" s="261"/>
      <c r="S38" s="2124"/>
      <c r="T38" s="2068"/>
      <c r="U38" s="814"/>
      <c r="V38" s="1253" t="s">
        <v>456</v>
      </c>
      <c r="W38" s="1956" t="s">
        <v>457</v>
      </c>
      <c r="X38" s="1958"/>
      <c r="Y38" s="1956" t="s">
        <v>362</v>
      </c>
      <c r="Z38" s="1957"/>
      <c r="AA38" s="1958"/>
      <c r="AB38" s="2129"/>
      <c r="AC38" s="1253" t="s">
        <v>456</v>
      </c>
      <c r="AD38" s="1956" t="s">
        <v>457</v>
      </c>
      <c r="AE38" s="1958"/>
      <c r="AF38" s="1956" t="s">
        <v>362</v>
      </c>
      <c r="AG38" s="1957"/>
      <c r="AH38" s="1958"/>
      <c r="AI38" s="2129"/>
      <c r="AJ38" s="2132"/>
      <c r="AK38" s="2025"/>
    </row>
    <row r="39" spans="1:42" ht="86.25" customHeight="1">
      <c r="A39" s="1150"/>
      <c r="B39" s="1150" t="s">
        <v>73</v>
      </c>
      <c r="C39" s="1150" t="s">
        <v>74</v>
      </c>
      <c r="D39" s="1150" t="s">
        <v>75</v>
      </c>
      <c r="E39" s="1144" t="s">
        <v>363</v>
      </c>
      <c r="F39" s="1144" t="s">
        <v>364</v>
      </c>
      <c r="G39" s="1144" t="s">
        <v>365</v>
      </c>
      <c r="H39" s="1144"/>
      <c r="I39" s="1144" t="s">
        <v>416</v>
      </c>
      <c r="J39" s="1144" t="s">
        <v>368</v>
      </c>
      <c r="K39" s="1144" t="s">
        <v>417</v>
      </c>
      <c r="L39" s="1144" t="s">
        <v>344</v>
      </c>
      <c r="Q39" s="261"/>
      <c r="R39" s="261"/>
      <c r="S39" s="2124"/>
      <c r="T39" s="2068"/>
      <c r="U39" s="177"/>
      <c r="V39" s="1253" t="s">
        <v>458</v>
      </c>
      <c r="W39" s="995" t="s">
        <v>459</v>
      </c>
      <c r="X39" s="995" t="s">
        <v>460</v>
      </c>
      <c r="Y39" s="1259" t="s">
        <v>372</v>
      </c>
      <c r="Z39" s="2073" t="s">
        <v>373</v>
      </c>
      <c r="AA39" s="2087"/>
      <c r="AB39" s="2130"/>
      <c r="AC39" s="1253" t="s">
        <v>458</v>
      </c>
      <c r="AD39" s="995" t="s">
        <v>459</v>
      </c>
      <c r="AE39" s="995" t="s">
        <v>460</v>
      </c>
      <c r="AF39" s="1259" t="s">
        <v>372</v>
      </c>
      <c r="AG39" s="2073" t="s">
        <v>373</v>
      </c>
      <c r="AH39" s="2087"/>
      <c r="AI39" s="2130"/>
      <c r="AJ39" s="2133"/>
      <c r="AK39" s="2025"/>
    </row>
    <row r="40" spans="1:42" s="1621" customFormat="1" ht="11.25" hidden="1" customHeight="1">
      <c r="A40" s="1150"/>
      <c r="B40" s="1150"/>
      <c r="C40" s="1150"/>
      <c r="D40" s="1150"/>
      <c r="E40" s="1150"/>
      <c r="F40" s="1150"/>
      <c r="G40" s="1150"/>
      <c r="H40" s="1150"/>
      <c r="I40" s="1150"/>
      <c r="J40" s="1150"/>
      <c r="K40" s="1150"/>
      <c r="L40" s="1144"/>
      <c r="M40" s="1142"/>
      <c r="N40" s="1142"/>
      <c r="O40" s="1142"/>
      <c r="P40" s="1022"/>
      <c r="Q40" s="1023"/>
      <c r="R40" s="1038">
        <v>1</v>
      </c>
      <c r="S40" s="1061" t="s">
        <v>43</v>
      </c>
      <c r="T40" s="1039" t="s">
        <v>44</v>
      </c>
      <c r="U40" s="1021" t="str">
        <f ca="1">OFFSET(U40,0,-1)</f>
        <v>2</v>
      </c>
      <c r="V40" s="1252">
        <f ca="1">OFFSET(V40,0,-1)+1</f>
        <v>3</v>
      </c>
      <c r="W40" s="1252">
        <f ca="1">OFFSET(W40,0,-1)+1</f>
        <v>4</v>
      </c>
      <c r="X40" s="1252">
        <f ca="1">OFFSET(X40,0,-1)+1</f>
        <v>5</v>
      </c>
      <c r="Y40" s="1252">
        <f ca="1">OFFSET(Y40,0,-1)+1</f>
        <v>6</v>
      </c>
      <c r="Z40" s="2122">
        <f ca="1">OFFSET(Z40,0,-1)+1</f>
        <v>7</v>
      </c>
      <c r="AA40" s="2122"/>
      <c r="AB40" s="1252">
        <f ca="1">OFFSET(AB40,0,-2)+1</f>
        <v>8</v>
      </c>
      <c r="AC40" s="1252">
        <f ca="1">OFFSET(AC40,0,-1)+1</f>
        <v>9</v>
      </c>
      <c r="AD40" s="1252">
        <f ca="1">OFFSET(AD40,0,-1)+1</f>
        <v>10</v>
      </c>
      <c r="AE40" s="1252">
        <f ca="1">OFFSET(AE40,0,-1)+1</f>
        <v>11</v>
      </c>
      <c r="AF40" s="1252">
        <f ca="1">OFFSET(AF40,0,-1)+1</f>
        <v>12</v>
      </c>
      <c r="AG40" s="2122">
        <f ca="1">OFFSET(AG40,0,-1)+1</f>
        <v>13</v>
      </c>
      <c r="AH40" s="2122"/>
      <c r="AI40" s="1252">
        <f ca="1">OFFSET(AI40,0,-2)+1</f>
        <v>14</v>
      </c>
      <c r="AJ40" s="1021">
        <f ca="1">OFFSET(AJ40,0,-1)</f>
        <v>14</v>
      </c>
      <c r="AK40" s="1252">
        <f ca="1">OFFSET(AK40,0,-1)+1</f>
        <v>15</v>
      </c>
      <c r="AL40" s="379"/>
      <c r="AM40" s="379"/>
      <c r="AN40" s="379"/>
      <c r="AO40" s="379"/>
      <c r="AP40" s="379"/>
    </row>
    <row r="41" spans="1:42" ht="23.25" customHeight="1">
      <c r="A41" s="1143" t="s">
        <v>175</v>
      </c>
      <c r="B41" s="1143"/>
      <c r="C41" s="1143"/>
      <c r="D41" s="1143"/>
      <c r="E41" s="2111">
        <v>1</v>
      </c>
      <c r="F41" s="1143"/>
      <c r="G41" s="1143"/>
      <c r="H41" s="1143"/>
      <c r="I41" s="1143"/>
      <c r="J41" s="1143"/>
      <c r="K41" s="1143"/>
      <c r="L41" s="1144"/>
      <c r="M41" s="1145"/>
      <c r="N41" s="1145"/>
      <c r="O41" s="1145"/>
      <c r="P41" s="242"/>
      <c r="Q41" s="241"/>
      <c r="R41" s="236"/>
      <c r="S41" s="1263">
        <f>INDEX(PT_DIFFERENTIATION_NUM_NTAR,MATCH(A41,PT_DIFFERENTIATION_NTAR_ID,0))</f>
        <v>0</v>
      </c>
      <c r="T41" s="173" t="s">
        <v>61</v>
      </c>
      <c r="U41" s="175"/>
      <c r="V41" s="2104"/>
      <c r="W41" s="2105"/>
      <c r="X41" s="2105"/>
      <c r="Y41" s="2105"/>
      <c r="Z41" s="2105"/>
      <c r="AA41" s="2105"/>
      <c r="AB41" s="2106"/>
      <c r="AC41" s="2104" t="str">
        <f>INDEX(PT_DIFFERENTIATION_NTAR,MATCH(A41,PT_DIFFERENTIATION_NTAR_ID,0))</f>
        <v/>
      </c>
      <c r="AD41" s="2105"/>
      <c r="AE41" s="2105"/>
      <c r="AF41" s="2105"/>
      <c r="AG41" s="2105"/>
      <c r="AH41" s="2105"/>
      <c r="AI41" s="2105"/>
      <c r="AJ41" s="2106"/>
      <c r="AK41"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68"/>
      <c r="AN41" s="368" t="str">
        <f t="shared" ref="AN41:AN53" si="1">IF(T41="","",T41)</f>
        <v>Наименование тарифа</v>
      </c>
      <c r="AO41" s="368"/>
      <c r="AP41" s="368"/>
    </row>
    <row r="42" spans="1:42" ht="23.25" customHeight="1">
      <c r="A42" s="1143" t="s">
        <v>175</v>
      </c>
      <c r="B42" s="1143" t="s">
        <v>176</v>
      </c>
      <c r="C42" s="1143"/>
      <c r="D42" s="1143"/>
      <c r="E42" s="2112"/>
      <c r="F42" s="2111">
        <v>1</v>
      </c>
      <c r="G42" s="1143"/>
      <c r="H42" s="1143"/>
      <c r="I42" s="1143"/>
      <c r="J42" s="1143"/>
      <c r="K42" s="1143"/>
      <c r="L42" s="1144"/>
      <c r="M42" s="1145"/>
      <c r="N42" s="1145"/>
      <c r="O42" s="1145"/>
      <c r="P42" s="1257"/>
      <c r="Q42" s="233"/>
      <c r="R42" s="234"/>
      <c r="S42" s="1263" t="str">
        <f>INDEX(PT_DIFFERENTIATION_NUM_TER,MATCH(B42,PT_DIFFERENTIATION_TER_ID,0))</f>
        <v>.</v>
      </c>
      <c r="T42" s="185" t="s">
        <v>323</v>
      </c>
      <c r="U42" s="175"/>
      <c r="V42" s="2104"/>
      <c r="W42" s="2105"/>
      <c r="X42" s="2105"/>
      <c r="Y42" s="2105"/>
      <c r="Z42" s="2105"/>
      <c r="AA42" s="2105"/>
      <c r="AB42" s="2106"/>
      <c r="AC42" s="2104" t="str">
        <f>INDEX(PT_DIFFERENTIATION_TER,MATCH(B42,PT_DIFFERENTIATION_TER_ID,0))</f>
        <v/>
      </c>
      <c r="AD42" s="2105"/>
      <c r="AE42" s="2105"/>
      <c r="AF42" s="2105"/>
      <c r="AG42" s="2105"/>
      <c r="AH42" s="2105"/>
      <c r="AI42" s="2105"/>
      <c r="AJ42" s="2106"/>
      <c r="AK42" s="1044" t="s">
        <v>324</v>
      </c>
      <c r="AM42" s="368"/>
      <c r="AN42" s="368" t="str">
        <f t="shared" si="1"/>
        <v>Территория действия тарифа</v>
      </c>
      <c r="AO42" s="368"/>
      <c r="AP42" s="368"/>
    </row>
    <row r="43" spans="1:42" ht="23.25" customHeight="1">
      <c r="A43" s="1143" t="s">
        <v>175</v>
      </c>
      <c r="B43" s="1143" t="s">
        <v>176</v>
      </c>
      <c r="C43" s="1143" t="s">
        <v>177</v>
      </c>
      <c r="D43" s="1143"/>
      <c r="E43" s="2112"/>
      <c r="F43" s="2112"/>
      <c r="G43" s="2111">
        <v>1</v>
      </c>
      <c r="H43" s="1143"/>
      <c r="I43" s="1143"/>
      <c r="J43" s="1143"/>
      <c r="K43" s="1143"/>
      <c r="L43" s="1144"/>
      <c r="M43" s="1145"/>
      <c r="N43" s="1145"/>
      <c r="O43" s="1145"/>
      <c r="P43" s="235"/>
      <c r="Q43" s="233"/>
      <c r="R43" s="234"/>
      <c r="S43" s="1263" t="str">
        <f>INDEX(PT_DIFFERENTIATION_NUM_CS,MATCH(C43,PT_DIFFERENTIATION_CS_ID,0))</f>
        <v>..</v>
      </c>
      <c r="T43" s="186" t="s">
        <v>454</v>
      </c>
      <c r="U43" s="175"/>
      <c r="V43" s="2104"/>
      <c r="W43" s="2105"/>
      <c r="X43" s="2105"/>
      <c r="Y43" s="2105"/>
      <c r="Z43" s="2105"/>
      <c r="AA43" s="2105"/>
      <c r="AB43" s="2106"/>
      <c r="AC43" s="2104" t="str">
        <f>INDEX(PT_DIFFERENTIATION_CS,MATCH(C43,PT_DIFFERENTIATION_CS_ID,0))</f>
        <v/>
      </c>
      <c r="AD43" s="2105"/>
      <c r="AE43" s="2105"/>
      <c r="AF43" s="2105"/>
      <c r="AG43" s="2105"/>
      <c r="AH43" s="2105"/>
      <c r="AI43" s="2105"/>
      <c r="AJ43" s="2106"/>
      <c r="AK43" s="1044" t="s">
        <v>455</v>
      </c>
      <c r="AM43" s="368"/>
      <c r="AN43" s="368" t="str">
        <f t="shared" si="1"/>
        <v>Наименование централизованной системы горячего водоснабжения</v>
      </c>
      <c r="AO43" s="368"/>
      <c r="AP43" s="368"/>
    </row>
    <row r="44" spans="1:42" ht="23.25" customHeight="1">
      <c r="A44" s="1143" t="s">
        <v>175</v>
      </c>
      <c r="B44" s="1143" t="s">
        <v>176</v>
      </c>
      <c r="C44" s="1143" t="s">
        <v>177</v>
      </c>
      <c r="D44" s="1143" t="s">
        <v>461</v>
      </c>
      <c r="E44" s="2112"/>
      <c r="F44" s="2112"/>
      <c r="G44" s="2112"/>
      <c r="H44" s="2112"/>
      <c r="I44" s="2113" t="str">
        <f>S43&amp;".1"</f>
        <v>...1</v>
      </c>
      <c r="J44" s="1143"/>
      <c r="K44" s="1143"/>
      <c r="L44" s="1144"/>
      <c r="P44" s="2115">
        <v>1</v>
      </c>
      <c r="Q44" s="1251"/>
      <c r="R44" s="237"/>
      <c r="S44" s="1263" t="str">
        <f>$I44</f>
        <v>...1</v>
      </c>
      <c r="T44" s="161" t="s">
        <v>409</v>
      </c>
      <c r="U44" s="175"/>
      <c r="V44" s="2171"/>
      <c r="W44" s="2172"/>
      <c r="X44" s="2172"/>
      <c r="Y44" s="2172"/>
      <c r="Z44" s="2172"/>
      <c r="AA44" s="2172"/>
      <c r="AB44" s="2173"/>
      <c r="AC44" s="2174"/>
      <c r="AD44" s="2175"/>
      <c r="AE44" s="2175"/>
      <c r="AF44" s="2175"/>
      <c r="AG44" s="2175"/>
      <c r="AH44" s="2175"/>
      <c r="AI44" s="2175"/>
      <c r="AJ44" s="2176"/>
      <c r="AK44" s="1044" t="s">
        <v>410</v>
      </c>
      <c r="AM44" s="368"/>
      <c r="AN44" s="368" t="str">
        <f t="shared" si="1"/>
        <v>Наименование признака дифференциации</v>
      </c>
      <c r="AO44" s="368"/>
      <c r="AP44" s="368"/>
    </row>
    <row r="45" spans="1:42" ht="23.25" customHeight="1">
      <c r="A45" s="1143" t="s">
        <v>175</v>
      </c>
      <c r="B45" s="1143" t="s">
        <v>176</v>
      </c>
      <c r="C45" s="1143" t="s">
        <v>177</v>
      </c>
      <c r="D45" s="1143" t="s">
        <v>461</v>
      </c>
      <c r="E45" s="2112"/>
      <c r="F45" s="2112"/>
      <c r="G45" s="2112"/>
      <c r="H45" s="2112"/>
      <c r="I45" s="2114"/>
      <c r="J45" s="2113" t="str">
        <f>I44&amp;".1"</f>
        <v>...1.1</v>
      </c>
      <c r="K45" s="1143"/>
      <c r="L45" s="1144" t="s">
        <v>332</v>
      </c>
      <c r="P45" s="2115"/>
      <c r="Q45" s="2115">
        <v>1</v>
      </c>
      <c r="R45" s="238"/>
      <c r="S45" s="1263" t="str">
        <f>$J45</f>
        <v>...1.1</v>
      </c>
      <c r="T45" s="162" t="s">
        <v>333</v>
      </c>
      <c r="U45" s="175"/>
      <c r="V45" s="2098"/>
      <c r="W45" s="2099"/>
      <c r="X45" s="2099"/>
      <c r="Y45" s="2099"/>
      <c r="Z45" s="2099"/>
      <c r="AA45" s="2099"/>
      <c r="AB45" s="2100"/>
      <c r="AC45" s="2098"/>
      <c r="AD45" s="2099"/>
      <c r="AE45" s="2099"/>
      <c r="AF45" s="2099"/>
      <c r="AG45" s="2099"/>
      <c r="AH45" s="2099"/>
      <c r="AI45" s="2099"/>
      <c r="AJ45" s="2100"/>
      <c r="AK45" s="1090" t="s">
        <v>411</v>
      </c>
      <c r="AM45" s="368"/>
      <c r="AN45" s="368" t="str">
        <f t="shared" si="1"/>
        <v>Группа потребителей</v>
      </c>
      <c r="AO45" s="368"/>
      <c r="AP45" s="368"/>
    </row>
    <row r="46" spans="1:42" ht="23.25" customHeight="1">
      <c r="A46" s="1143" t="s">
        <v>175</v>
      </c>
      <c r="B46" s="1143" t="s">
        <v>176</v>
      </c>
      <c r="C46" s="1143" t="s">
        <v>177</v>
      </c>
      <c r="D46" s="1143" t="s">
        <v>461</v>
      </c>
      <c r="E46" s="2112"/>
      <c r="F46" s="2112"/>
      <c r="G46" s="2112"/>
      <c r="H46" s="2112"/>
      <c r="I46" s="2114"/>
      <c r="J46" s="2114"/>
      <c r="K46" s="2113" t="str">
        <f>J45&amp;".1"</f>
        <v>...1.1.1</v>
      </c>
      <c r="L46" s="1144"/>
      <c r="P46" s="2115"/>
      <c r="Q46" s="2115"/>
      <c r="R46" s="238">
        <v>1</v>
      </c>
      <c r="S46" s="1263" t="str">
        <f>$K46</f>
        <v>...1.1.1</v>
      </c>
      <c r="T46" s="1212"/>
      <c r="U46" s="175"/>
      <c r="V46" s="1140"/>
      <c r="W46" s="1140"/>
      <c r="X46" s="1141"/>
      <c r="Y46" s="2108"/>
      <c r="Z46" s="2107" t="s">
        <v>16</v>
      </c>
      <c r="AA46" s="2108"/>
      <c r="AB46" s="2107" t="s">
        <v>16</v>
      </c>
      <c r="AC46" s="576"/>
      <c r="AD46" s="576"/>
      <c r="AE46" s="1043"/>
      <c r="AF46" s="2116"/>
      <c r="AG46" s="2109" t="s">
        <v>16</v>
      </c>
      <c r="AH46" s="2118"/>
      <c r="AI46" s="2109" t="s">
        <v>15</v>
      </c>
      <c r="AJ46" s="1213"/>
      <c r="AK46"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79" t="e">
        <f ca="1">STRCHECKDATE(V47:AJ47)</f>
        <v>#NAME?</v>
      </c>
      <c r="AM46" s="368"/>
      <c r="AN46" s="368" t="str">
        <f t="shared" si="1"/>
        <v/>
      </c>
      <c r="AO46" s="368"/>
      <c r="AP46" s="368"/>
    </row>
    <row r="47" spans="1:42" ht="0" hidden="1" customHeight="1">
      <c r="A47" s="1143" t="s">
        <v>175</v>
      </c>
      <c r="B47" s="1143" t="s">
        <v>176</v>
      </c>
      <c r="C47" s="1143" t="s">
        <v>177</v>
      </c>
      <c r="D47" s="1143" t="s">
        <v>461</v>
      </c>
      <c r="E47" s="2112"/>
      <c r="F47" s="2112"/>
      <c r="G47" s="2112"/>
      <c r="H47" s="2112"/>
      <c r="I47" s="2114"/>
      <c r="J47" s="2114"/>
      <c r="K47" s="2113"/>
      <c r="L47" s="1144"/>
      <c r="P47" s="2115"/>
      <c r="Q47" s="2115"/>
      <c r="R47" s="238"/>
      <c r="S47" s="1260"/>
      <c r="T47" s="175"/>
      <c r="U47" s="175"/>
      <c r="V47" s="1140"/>
      <c r="W47" s="1140"/>
      <c r="X47" s="211" t="str">
        <f>Y46&amp;"-"&amp;AA46</f>
        <v>-</v>
      </c>
      <c r="Y47" s="2107"/>
      <c r="Z47" s="2107"/>
      <c r="AA47" s="2107"/>
      <c r="AB47" s="2107"/>
      <c r="AC47" s="207"/>
      <c r="AD47" s="207"/>
      <c r="AE47" s="211" t="str">
        <f>AF46&amp;"-"&amp;AH46</f>
        <v>-</v>
      </c>
      <c r="AF47" s="2117"/>
      <c r="AG47" s="2109"/>
      <c r="AH47" s="2119"/>
      <c r="AI47" s="2109"/>
      <c r="AJ47" s="1214"/>
      <c r="AK47" s="2177"/>
      <c r="AM47" s="368"/>
      <c r="AN47" s="368" t="str">
        <f t="shared" si="1"/>
        <v/>
      </c>
      <c r="AO47" s="368"/>
      <c r="AP47" s="368"/>
    </row>
    <row r="48" spans="1:42" ht="21" customHeight="1">
      <c r="A48" s="1143" t="s">
        <v>175</v>
      </c>
      <c r="B48" s="1143" t="s">
        <v>176</v>
      </c>
      <c r="C48" s="1143" t="s">
        <v>177</v>
      </c>
      <c r="D48" s="1143" t="s">
        <v>461</v>
      </c>
      <c r="E48" s="2112"/>
      <c r="F48" s="2112"/>
      <c r="G48" s="2112"/>
      <c r="H48" s="2112"/>
      <c r="I48" s="2114"/>
      <c r="J48" s="2113"/>
      <c r="K48" s="1143"/>
      <c r="L48" s="1144"/>
      <c r="P48" s="2115"/>
      <c r="Q48" s="2115"/>
      <c r="R48" s="237"/>
      <c r="S48" s="1062"/>
      <c r="T48" s="163" t="s">
        <v>412</v>
      </c>
      <c r="U48" s="251"/>
      <c r="V48" s="251"/>
      <c r="W48" s="251"/>
      <c r="X48" s="251"/>
      <c r="Y48" s="251"/>
      <c r="Z48" s="251"/>
      <c r="AA48" s="251"/>
      <c r="AB48" s="251"/>
      <c r="AC48" s="251"/>
      <c r="AD48" s="251"/>
      <c r="AE48" s="251"/>
      <c r="AF48" s="251"/>
      <c r="AG48" s="251"/>
      <c r="AH48" s="251"/>
      <c r="AI48" s="251"/>
      <c r="AJ48" s="251"/>
      <c r="AK48" s="1044" t="s">
        <v>413</v>
      </c>
      <c r="AM48" s="368"/>
      <c r="AN48" s="368" t="str">
        <f t="shared" si="1"/>
        <v>Добавить значение признака дифференциации</v>
      </c>
      <c r="AO48" s="368"/>
      <c r="AP48" s="368"/>
    </row>
    <row r="49" spans="1:42" ht="21" customHeight="1">
      <c r="A49" s="1143" t="s">
        <v>175</v>
      </c>
      <c r="B49" s="1143" t="s">
        <v>176</v>
      </c>
      <c r="C49" s="1143" t="s">
        <v>177</v>
      </c>
      <c r="D49" s="1143" t="s">
        <v>461</v>
      </c>
      <c r="E49" s="2112"/>
      <c r="F49" s="2112"/>
      <c r="G49" s="2112"/>
      <c r="H49" s="2112"/>
      <c r="I49" s="2113"/>
      <c r="J49" s="1143"/>
      <c r="K49" s="1143"/>
      <c r="L49" s="1144"/>
      <c r="P49" s="2115"/>
      <c r="Q49" s="1251"/>
      <c r="R49" s="237"/>
      <c r="S49" s="1062"/>
      <c r="T49" s="248" t="s">
        <v>338</v>
      </c>
      <c r="U49" s="251"/>
      <c r="V49" s="251"/>
      <c r="W49" s="251"/>
      <c r="X49" s="251"/>
      <c r="Y49" s="251"/>
      <c r="Z49" s="251"/>
      <c r="AA49" s="251"/>
      <c r="AB49" s="250"/>
      <c r="AC49" s="251"/>
      <c r="AD49" s="251"/>
      <c r="AE49" s="251"/>
      <c r="AF49" s="251"/>
      <c r="AG49" s="251"/>
      <c r="AH49" s="251"/>
      <c r="AI49" s="250"/>
      <c r="AJ49" s="251"/>
      <c r="AK49" s="1215"/>
      <c r="AM49" s="368"/>
      <c r="AN49" s="368" t="str">
        <f t="shared" si="1"/>
        <v>Добавить группу потребителей</v>
      </c>
      <c r="AO49" s="368"/>
      <c r="AP49" s="368"/>
    </row>
    <row r="50" spans="1:42" ht="21" customHeight="1">
      <c r="A50" s="1143" t="s">
        <v>175</v>
      </c>
      <c r="B50" s="1143" t="s">
        <v>176</v>
      </c>
      <c r="C50" s="1143" t="s">
        <v>177</v>
      </c>
      <c r="D50" s="1143" t="s">
        <v>461</v>
      </c>
      <c r="E50" s="2112"/>
      <c r="F50" s="2112"/>
      <c r="G50" s="2112"/>
      <c r="H50" s="2111"/>
      <c r="I50" s="1143"/>
      <c r="J50" s="1143"/>
      <c r="K50" s="1143"/>
      <c r="L50" s="1144"/>
      <c r="M50" s="1145"/>
      <c r="N50" s="1145"/>
      <c r="O50" s="395"/>
      <c r="P50" s="241"/>
      <c r="Q50" s="260"/>
      <c r="R50" s="236"/>
      <c r="S50" s="1062"/>
      <c r="T50" s="256" t="s">
        <v>414</v>
      </c>
      <c r="U50" s="251"/>
      <c r="V50" s="251"/>
      <c r="W50" s="251"/>
      <c r="X50" s="251"/>
      <c r="Y50" s="251"/>
      <c r="Z50" s="251"/>
      <c r="AA50" s="251"/>
      <c r="AB50" s="250"/>
      <c r="AC50" s="251"/>
      <c r="AD50" s="251"/>
      <c r="AE50" s="251"/>
      <c r="AF50" s="251"/>
      <c r="AG50" s="251"/>
      <c r="AH50" s="251"/>
      <c r="AI50" s="250"/>
      <c r="AJ50" s="251"/>
      <c r="AK50" s="178"/>
      <c r="AM50" s="368"/>
      <c r="AN50" s="368" t="str">
        <f t="shared" si="1"/>
        <v>Добавить наименование признака дифференциации</v>
      </c>
      <c r="AO50" s="368"/>
      <c r="AP50" s="368"/>
    </row>
    <row r="51" spans="1:42" s="1686" customFormat="1" ht="0" hidden="1" customHeight="1">
      <c r="A51" s="1124" t="s">
        <v>175</v>
      </c>
      <c r="B51" s="1124" t="s">
        <v>176</v>
      </c>
      <c r="C51" s="1096"/>
      <c r="D51" s="1096"/>
      <c r="E51" s="2112"/>
      <c r="F51" s="2111"/>
      <c r="G51" s="1096"/>
      <c r="H51" s="1096"/>
      <c r="I51" s="1096"/>
      <c r="J51" s="1096"/>
      <c r="K51" s="1096"/>
      <c r="L51" s="1264"/>
      <c r="M51" s="1103"/>
      <c r="N51" s="1103"/>
      <c r="P51" s="1098"/>
      <c r="Q51" s="1099"/>
      <c r="R51" s="1098"/>
      <c r="S51" s="1104"/>
      <c r="T51" s="1107" t="s">
        <v>341</v>
      </c>
      <c r="U51" s="1106"/>
      <c r="V51" s="1106"/>
      <c r="W51" s="1106"/>
      <c r="X51" s="1106"/>
      <c r="Y51" s="1106"/>
      <c r="Z51" s="1106"/>
      <c r="AA51" s="1106"/>
      <c r="AB51" s="1106"/>
      <c r="AC51" s="1106"/>
      <c r="AD51" s="1106"/>
      <c r="AE51" s="1106"/>
      <c r="AF51" s="1106"/>
      <c r="AG51" s="1106"/>
      <c r="AH51" s="1106"/>
      <c r="AI51" s="1106"/>
      <c r="AJ51" s="1106"/>
      <c r="AK51" s="1106"/>
      <c r="AM51" s="598"/>
      <c r="AN51" s="598" t="str">
        <f t="shared" si="1"/>
        <v>Добавить централизованную систему для дифференциации</v>
      </c>
      <c r="AO51" s="598"/>
      <c r="AP51" s="598"/>
    </row>
    <row r="52" spans="1:42" s="1622" customFormat="1" ht="0" hidden="1" customHeight="1">
      <c r="A52" s="1124" t="s">
        <v>175</v>
      </c>
      <c r="B52" s="1124"/>
      <c r="C52" s="1124"/>
      <c r="D52" s="1124"/>
      <c r="E52" s="2111"/>
      <c r="F52" s="1124"/>
      <c r="G52" s="1124"/>
      <c r="H52" s="1124"/>
      <c r="I52" s="1124"/>
      <c r="J52" s="1124"/>
      <c r="K52" s="1124"/>
      <c r="L52" s="1127"/>
      <c r="M52" s="1103"/>
      <c r="N52" s="1103"/>
      <c r="O52" s="386"/>
      <c r="P52" s="269"/>
      <c r="Q52" s="1125"/>
      <c r="R52" s="269"/>
      <c r="S52" s="1104"/>
      <c r="T52" s="1107" t="s">
        <v>342</v>
      </c>
      <c r="U52" s="1106"/>
      <c r="V52" s="1106"/>
      <c r="W52" s="1106"/>
      <c r="X52" s="1106"/>
      <c r="Y52" s="1106"/>
      <c r="Z52" s="1106"/>
      <c r="AA52" s="1106"/>
      <c r="AB52" s="1106"/>
      <c r="AC52" s="1106"/>
      <c r="AD52" s="1106"/>
      <c r="AE52" s="1106"/>
      <c r="AF52" s="1106"/>
      <c r="AG52" s="1106"/>
      <c r="AH52" s="1106"/>
      <c r="AI52" s="1106"/>
      <c r="AJ52" s="1106"/>
      <c r="AK52" s="1106"/>
      <c r="AM52" s="368"/>
      <c r="AN52" s="368" t="str">
        <f t="shared" si="1"/>
        <v>Добавить территорию для дифференциации</v>
      </c>
      <c r="AO52" s="368"/>
      <c r="AP52" s="368"/>
    </row>
    <row r="53" spans="1:42" s="1686" customFormat="1" ht="0" hidden="1" customHeight="1">
      <c r="A53" s="1096"/>
      <c r="B53" s="1096"/>
      <c r="C53" s="1096"/>
      <c r="D53" s="1096"/>
      <c r="E53" s="1124"/>
      <c r="F53" s="1096"/>
      <c r="G53" s="1096"/>
      <c r="H53" s="1096"/>
      <c r="I53" s="1096"/>
      <c r="J53" s="1096"/>
      <c r="K53" s="1096"/>
      <c r="L53" s="1264"/>
      <c r="M53" s="1103"/>
      <c r="N53" s="1103"/>
      <c r="P53" s="1098"/>
      <c r="Q53" s="1099"/>
      <c r="R53" s="1098"/>
      <c r="S53" s="1104"/>
      <c r="T53" s="1107" t="s">
        <v>374</v>
      </c>
      <c r="U53" s="1106"/>
      <c r="V53" s="1106"/>
      <c r="W53" s="1106"/>
      <c r="X53" s="1106"/>
      <c r="Y53" s="1106"/>
      <c r="Z53" s="1106"/>
      <c r="AA53" s="1106"/>
      <c r="AB53" s="1106"/>
      <c r="AC53" s="1106"/>
      <c r="AD53" s="1106"/>
      <c r="AE53" s="1106"/>
      <c r="AF53" s="1106"/>
      <c r="AG53" s="1106"/>
      <c r="AH53" s="1106"/>
      <c r="AI53" s="1106"/>
      <c r="AJ53" s="1106"/>
      <c r="AK53" s="1106"/>
      <c r="AM53" s="598"/>
      <c r="AN53" s="598" t="str">
        <f t="shared" si="1"/>
        <v>Добавить наименование тарифа</v>
      </c>
      <c r="AO53" s="598"/>
      <c r="AP53" s="598"/>
    </row>
    <row r="54" spans="1:42" ht="11.25" customHeight="1">
      <c r="M54" s="929"/>
      <c r="N54" s="929"/>
      <c r="O54" s="395"/>
      <c r="P54" s="924"/>
      <c r="Q54" s="924"/>
      <c r="R54" s="924"/>
      <c r="S54" s="924"/>
      <c r="AL54" s="924"/>
      <c r="AM54" s="924"/>
      <c r="AN54" s="924"/>
      <c r="AO54" s="924"/>
      <c r="AP54" s="924"/>
    </row>
    <row r="55" spans="1:42" ht="14.25" customHeight="1">
      <c r="O55" s="395"/>
      <c r="S55" s="1031"/>
      <c r="T55" s="2110"/>
      <c r="U55" s="2110"/>
      <c r="V55" s="2110"/>
      <c r="W55" s="2110"/>
      <c r="X55" s="2110"/>
      <c r="Y55" s="2110"/>
      <c r="Z55" s="2110"/>
      <c r="AA55" s="2110"/>
      <c r="AB55" s="2110"/>
      <c r="AC55" s="2110"/>
      <c r="AD55" s="2110"/>
      <c r="AE55" s="2110"/>
      <c r="AF55" s="2110"/>
      <c r="AG55" s="2110"/>
      <c r="AH55" s="2110"/>
      <c r="AI55" s="2110"/>
      <c r="AJ55" s="2110"/>
      <c r="AK55" s="2110"/>
    </row>
    <row r="56" spans="1:42" ht="14.25" customHeight="1">
      <c r="O56" s="395"/>
    </row>
    <row r="57" spans="1:42" ht="14.25" customHeight="1">
      <c r="O57" s="395"/>
      <c r="S57" s="1031"/>
      <c r="T57" s="2110"/>
      <c r="U57" s="2110"/>
      <c r="V57" s="2110"/>
      <c r="W57" s="2110"/>
      <c r="X57" s="2110"/>
      <c r="Y57" s="2110"/>
      <c r="Z57" s="2110"/>
      <c r="AA57" s="2110"/>
      <c r="AB57" s="2110"/>
      <c r="AC57" s="2110"/>
      <c r="AD57" s="2110"/>
      <c r="AE57" s="2110"/>
      <c r="AF57" s="2110"/>
      <c r="AG57" s="2110"/>
      <c r="AH57" s="2110"/>
      <c r="AI57" s="2110"/>
      <c r="AJ57" s="2110"/>
      <c r="AK57" s="211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687" hidden="1"/>
    <col min="2" max="2" width="11" style="1687" hidden="1" customWidth="1"/>
    <col min="3" max="3" width="10.5703125" style="1687" hidden="1"/>
    <col min="4" max="4" width="11.85546875" style="1687" hidden="1" customWidth="1"/>
    <col min="5" max="5" width="10" style="1687" hidden="1" customWidth="1"/>
    <col min="6" max="6" width="8.7109375" style="1687" hidden="1" customWidth="1"/>
    <col min="7" max="7" width="7.5703125" style="1687" hidden="1" customWidth="1"/>
    <col min="8" max="8" width="11.42578125" style="1687" hidden="1" customWidth="1"/>
    <col min="9" max="9" width="14.140625" style="1687" hidden="1" customWidth="1"/>
    <col min="10" max="10" width="9.85546875" style="1687" hidden="1" customWidth="1"/>
    <col min="11" max="11" width="14.7109375" style="1687" hidden="1" customWidth="1"/>
    <col min="12" max="12" width="19.140625" style="1706" hidden="1" customWidth="1"/>
    <col min="13" max="14" width="12.28515625" style="1689" hidden="1" customWidth="1"/>
    <col min="15" max="15" width="23.42578125" style="1689" hidden="1" customWidth="1"/>
    <col min="16" max="16" width="3.7109375" style="1707" customWidth="1"/>
    <col min="17" max="18" width="3.7109375" style="1695" customWidth="1"/>
    <col min="19" max="19" width="12.7109375" style="1696" customWidth="1"/>
    <col min="20" max="20" width="35.7109375" style="1661" customWidth="1"/>
    <col min="21" max="21" width="0.140625" style="1661" customWidth="1"/>
    <col min="22" max="24" width="24.7109375" style="1661" hidden="1" customWidth="1"/>
    <col min="25" max="25" width="11.7109375" style="1661" hidden="1" customWidth="1"/>
    <col min="26" max="26" width="3.7109375" style="1661" hidden="1" customWidth="1"/>
    <col min="27" max="27" width="11.7109375" style="1661" hidden="1" customWidth="1"/>
    <col min="28" max="28" width="8.5703125" style="1661" hidden="1" customWidth="1"/>
    <col min="29" max="31" width="24.7109375" style="1661" customWidth="1"/>
    <col min="32" max="32" width="11.7109375" style="1661" customWidth="1"/>
    <col min="33" max="33" width="3.7109375" style="1661" customWidth="1"/>
    <col min="34" max="34" width="11.7109375" style="1661" customWidth="1"/>
    <col min="35" max="35" width="8.5703125" style="1661" hidden="1" customWidth="1"/>
    <col min="36" max="36" width="4.7109375" style="1661" customWidth="1"/>
    <col min="37" max="37" width="115.7109375" style="1661" customWidth="1"/>
    <col min="38" max="39" width="10.5703125" style="1622"/>
    <col min="40" max="40" width="11.140625" style="1622" customWidth="1"/>
    <col min="41" max="42" width="10.5703125" style="1622"/>
  </cols>
  <sheetData>
    <row r="1" spans="1:42" ht="14.25" hidden="1" customHeight="1">
      <c r="X1" s="210"/>
      <c r="Y1" s="210"/>
      <c r="AE1" s="210"/>
      <c r="AF1" s="210"/>
    </row>
    <row r="2" spans="1:42" ht="23.25" hidden="1" customHeight="1">
      <c r="A2" s="1143"/>
      <c r="B2" s="1143"/>
      <c r="C2" s="1143"/>
      <c r="D2" s="1143"/>
      <c r="E2" s="2111">
        <v>1</v>
      </c>
      <c r="F2" s="1143"/>
      <c r="G2" s="1143"/>
      <c r="H2" s="1143"/>
      <c r="I2" s="1143"/>
      <c r="J2" s="1143"/>
      <c r="K2" s="1143"/>
      <c r="L2" s="1144"/>
      <c r="M2" s="1145"/>
      <c r="N2" s="1145"/>
      <c r="O2" s="1145"/>
      <c r="P2" s="242"/>
      <c r="Q2" s="241"/>
      <c r="R2" s="236"/>
      <c r="S2" s="1263" t="e">
        <f>INDEX(PT_DIFFERENTIATION_NUM_NTAR,MATCH(A2,PT_DIFFERENTIATION_NTAR_ID,0))</f>
        <v>#N/A</v>
      </c>
      <c r="T2" s="173" t="s">
        <v>61</v>
      </c>
      <c r="U2" s="175"/>
      <c r="V2" s="2104"/>
      <c r="W2" s="2105"/>
      <c r="X2" s="2105"/>
      <c r="Y2" s="2105"/>
      <c r="Z2" s="2105"/>
      <c r="AA2" s="2105"/>
      <c r="AB2" s="2106"/>
      <c r="AC2" s="2104" t="e">
        <f>INDEX(PT_DIFFERENTIATION_NTAR,MATCH(A2,PT_DIFFERENTIATION_NTAR_ID,0))</f>
        <v>#N/A</v>
      </c>
      <c r="AD2" s="2105"/>
      <c r="AE2" s="2105"/>
      <c r="AF2" s="2105"/>
      <c r="AG2" s="2105"/>
      <c r="AH2" s="2105"/>
      <c r="AI2" s="2105"/>
      <c r="AJ2" s="2106"/>
      <c r="AK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68"/>
      <c r="AN2" s="368" t="str">
        <f t="shared" ref="AN2:AN13" si="0">IF(T2="","",T2)</f>
        <v>Наименование тарифа</v>
      </c>
      <c r="AO2" s="368"/>
      <c r="AP2" s="368"/>
    </row>
    <row r="3" spans="1:42" ht="23.25" hidden="1" customHeight="1">
      <c r="A3" s="1143"/>
      <c r="B3" s="1143"/>
      <c r="C3" s="1143"/>
      <c r="D3" s="1143"/>
      <c r="E3" s="2112"/>
      <c r="F3" s="2111">
        <v>1</v>
      </c>
      <c r="G3" s="1143"/>
      <c r="H3" s="1143"/>
      <c r="I3" s="1143"/>
      <c r="J3" s="1143"/>
      <c r="K3" s="1143"/>
      <c r="L3" s="1144"/>
      <c r="M3" s="1145"/>
      <c r="N3" s="1145"/>
      <c r="O3" s="1145"/>
      <c r="P3" s="1257"/>
      <c r="Q3" s="233"/>
      <c r="R3" s="234"/>
      <c r="S3" s="1263" t="e">
        <f>INDEX(PT_DIFFERENTIATION_NUM_TER,MATCH(B3,PT_DIFFERENTIATION_TER_ID,0))</f>
        <v>#N/A</v>
      </c>
      <c r="T3" s="185" t="s">
        <v>323</v>
      </c>
      <c r="U3" s="175"/>
      <c r="V3" s="2104"/>
      <c r="W3" s="2105"/>
      <c r="X3" s="2105"/>
      <c r="Y3" s="2105"/>
      <c r="Z3" s="2105"/>
      <c r="AA3" s="2105"/>
      <c r="AB3" s="2106"/>
      <c r="AC3" s="2104" t="e">
        <f>INDEX(PT_DIFFERENTIATION_TER,MATCH(B3,PT_DIFFERENTIATION_TER_ID,0))</f>
        <v>#N/A</v>
      </c>
      <c r="AD3" s="2105"/>
      <c r="AE3" s="2105"/>
      <c r="AF3" s="2105"/>
      <c r="AG3" s="2105"/>
      <c r="AH3" s="2105"/>
      <c r="AI3" s="2105"/>
      <c r="AJ3" s="2106"/>
      <c r="AK3" s="1044" t="s">
        <v>324</v>
      </c>
      <c r="AM3" s="368"/>
      <c r="AN3" s="368" t="str">
        <f t="shared" si="0"/>
        <v>Территория действия тарифа</v>
      </c>
      <c r="AO3" s="368"/>
      <c r="AP3" s="368"/>
    </row>
    <row r="4" spans="1:42" ht="23.25" hidden="1" customHeight="1">
      <c r="A4" s="1143"/>
      <c r="B4" s="1143"/>
      <c r="C4" s="1143"/>
      <c r="D4" s="1143"/>
      <c r="E4" s="2112"/>
      <c r="F4" s="2112"/>
      <c r="G4" s="2111">
        <v>1</v>
      </c>
      <c r="H4" s="1143"/>
      <c r="I4" s="1143"/>
      <c r="J4" s="1143"/>
      <c r="K4" s="1143"/>
      <c r="L4" s="1144"/>
      <c r="M4" s="1145"/>
      <c r="N4" s="1145"/>
      <c r="O4" s="1145"/>
      <c r="P4" s="235"/>
      <c r="Q4" s="233"/>
      <c r="R4" s="234"/>
      <c r="S4" s="1263" t="e">
        <f>INDEX(PT_DIFFERENTIATION_NUM_CS,MATCH(C4,PT_DIFFERENTIATION_CS_ID,0))</f>
        <v>#N/A</v>
      </c>
      <c r="T4" s="186" t="s">
        <v>454</v>
      </c>
      <c r="U4" s="175"/>
      <c r="V4" s="2104"/>
      <c r="W4" s="2105"/>
      <c r="X4" s="2105"/>
      <c r="Y4" s="2105"/>
      <c r="Z4" s="2105"/>
      <c r="AA4" s="2105"/>
      <c r="AB4" s="2106"/>
      <c r="AC4" s="2104" t="e">
        <f>INDEX(PT_DIFFERENTIATION_CS,MATCH(C4,PT_DIFFERENTIATION_CS_ID,0))</f>
        <v>#N/A</v>
      </c>
      <c r="AD4" s="2105"/>
      <c r="AE4" s="2105"/>
      <c r="AF4" s="2105"/>
      <c r="AG4" s="2105"/>
      <c r="AH4" s="2105"/>
      <c r="AI4" s="2105"/>
      <c r="AJ4" s="2106"/>
      <c r="AK4" s="1044" t="s">
        <v>455</v>
      </c>
      <c r="AM4" s="368"/>
      <c r="AN4" s="368" t="str">
        <f t="shared" si="0"/>
        <v>Наименование централизованной системы горячего водоснабжения</v>
      </c>
      <c r="AO4" s="368"/>
      <c r="AP4" s="368"/>
    </row>
    <row r="5" spans="1:42" ht="23.25" hidden="1" customHeight="1">
      <c r="A5" s="1143"/>
      <c r="B5" s="1143"/>
      <c r="C5" s="1143"/>
      <c r="D5" s="1143"/>
      <c r="E5" s="2112"/>
      <c r="F5" s="2112"/>
      <c r="G5" s="2112"/>
      <c r="H5" s="2112"/>
      <c r="I5" s="2113" t="e">
        <f>S4&amp;".1"</f>
        <v>#N/A</v>
      </c>
      <c r="J5" s="1143"/>
      <c r="K5" s="1143"/>
      <c r="L5" s="1144"/>
      <c r="P5" s="2115">
        <v>1</v>
      </c>
      <c r="Q5" s="1251"/>
      <c r="R5" s="237"/>
      <c r="S5" s="1263" t="e">
        <f>$I5</f>
        <v>#N/A</v>
      </c>
      <c r="T5" s="161" t="s">
        <v>409</v>
      </c>
      <c r="U5" s="175"/>
      <c r="V5" s="2171"/>
      <c r="W5" s="2172"/>
      <c r="X5" s="2172"/>
      <c r="Y5" s="2172"/>
      <c r="Z5" s="2172"/>
      <c r="AA5" s="2172"/>
      <c r="AB5" s="2173"/>
      <c r="AC5" s="2174"/>
      <c r="AD5" s="2175"/>
      <c r="AE5" s="2175"/>
      <c r="AF5" s="2175"/>
      <c r="AG5" s="2175"/>
      <c r="AH5" s="2175"/>
      <c r="AI5" s="2175"/>
      <c r="AJ5" s="2176"/>
      <c r="AK5" s="1044" t="s">
        <v>410</v>
      </c>
      <c r="AM5" s="368"/>
      <c r="AN5" s="368" t="str">
        <f t="shared" si="0"/>
        <v>Наименование признака дифференциации</v>
      </c>
      <c r="AO5" s="368"/>
      <c r="AP5" s="368"/>
    </row>
    <row r="6" spans="1:42" ht="23.25" hidden="1" customHeight="1">
      <c r="A6" s="1143"/>
      <c r="B6" s="1143"/>
      <c r="C6" s="1143"/>
      <c r="D6" s="1143"/>
      <c r="E6" s="2112"/>
      <c r="F6" s="2112"/>
      <c r="G6" s="2112"/>
      <c r="H6" s="2112"/>
      <c r="I6" s="2114"/>
      <c r="J6" s="2113" t="e">
        <f>I5&amp;".1"</f>
        <v>#N/A</v>
      </c>
      <c r="K6" s="1143"/>
      <c r="L6" s="1144" t="s">
        <v>332</v>
      </c>
      <c r="P6" s="2115"/>
      <c r="Q6" s="2115">
        <v>1</v>
      </c>
      <c r="R6" s="238"/>
      <c r="S6" s="1263" t="e">
        <f>$J6</f>
        <v>#N/A</v>
      </c>
      <c r="T6" s="162" t="s">
        <v>333</v>
      </c>
      <c r="U6" s="175"/>
      <c r="V6" s="2098"/>
      <c r="W6" s="2099"/>
      <c r="X6" s="2099"/>
      <c r="Y6" s="2099"/>
      <c r="Z6" s="2099"/>
      <c r="AA6" s="2099"/>
      <c r="AB6" s="2100"/>
      <c r="AC6" s="2098"/>
      <c r="AD6" s="2099"/>
      <c r="AE6" s="2099"/>
      <c r="AF6" s="2099"/>
      <c r="AG6" s="2099"/>
      <c r="AH6" s="2099"/>
      <c r="AI6" s="2099"/>
      <c r="AJ6" s="2100"/>
      <c r="AK6" s="1090" t="s">
        <v>411</v>
      </c>
      <c r="AM6" s="368"/>
      <c r="AN6" s="368" t="str">
        <f t="shared" si="0"/>
        <v>Группа потребителей</v>
      </c>
      <c r="AO6" s="368"/>
      <c r="AP6" s="368"/>
    </row>
    <row r="7" spans="1:42" ht="23.25" hidden="1" customHeight="1">
      <c r="A7" s="1143"/>
      <c r="B7" s="1143"/>
      <c r="C7" s="1143"/>
      <c r="D7" s="1143"/>
      <c r="E7" s="2112"/>
      <c r="F7" s="2112"/>
      <c r="G7" s="2112"/>
      <c r="H7" s="2112"/>
      <c r="I7" s="2114"/>
      <c r="J7" s="2114"/>
      <c r="K7" s="2113" t="e">
        <f>J6&amp;".1"</f>
        <v>#N/A</v>
      </c>
      <c r="L7" s="1144"/>
      <c r="P7" s="2115"/>
      <c r="Q7" s="2115"/>
      <c r="R7" s="238">
        <v>1</v>
      </c>
      <c r="S7" s="1263" t="e">
        <f>$K7</f>
        <v>#N/A</v>
      </c>
      <c r="T7" s="1212"/>
      <c r="U7" s="175"/>
      <c r="V7" s="576"/>
      <c r="W7" s="576"/>
      <c r="X7" s="1043"/>
      <c r="Y7" s="2116"/>
      <c r="Z7" s="2109" t="s">
        <v>16</v>
      </c>
      <c r="AA7" s="2116"/>
      <c r="AB7" s="2109" t="s">
        <v>16</v>
      </c>
      <c r="AC7" s="576"/>
      <c r="AD7" s="576"/>
      <c r="AE7" s="1043"/>
      <c r="AF7" s="2116"/>
      <c r="AG7" s="2109" t="s">
        <v>16</v>
      </c>
      <c r="AH7" s="2118"/>
      <c r="AI7" s="2109" t="s">
        <v>16</v>
      </c>
      <c r="AJ7" s="1213"/>
      <c r="AK7"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79" t="e">
        <f ca="1">STRCHECKDATE(V8:AJ8)</f>
        <v>#NAME?</v>
      </c>
      <c r="AM7" s="368"/>
      <c r="AN7" s="368" t="str">
        <f t="shared" si="0"/>
        <v/>
      </c>
      <c r="AO7" s="368"/>
      <c r="AP7" s="368"/>
    </row>
    <row r="8" spans="1:42" ht="14.25" hidden="1" customHeight="1">
      <c r="A8" s="1143"/>
      <c r="B8" s="1143"/>
      <c r="C8" s="1143"/>
      <c r="D8" s="1143"/>
      <c r="E8" s="2112"/>
      <c r="F8" s="2112"/>
      <c r="G8" s="2112"/>
      <c r="H8" s="2112"/>
      <c r="I8" s="2114"/>
      <c r="J8" s="2114"/>
      <c r="K8" s="2113"/>
      <c r="L8" s="1144"/>
      <c r="P8" s="2115"/>
      <c r="Q8" s="2115"/>
      <c r="R8" s="238"/>
      <c r="S8" s="1260"/>
      <c r="T8" s="175"/>
      <c r="U8" s="175"/>
      <c r="V8" s="207"/>
      <c r="W8" s="207"/>
      <c r="X8" s="211" t="str">
        <f>Y7&amp;"-"&amp;AA7</f>
        <v>-</v>
      </c>
      <c r="Y8" s="2117"/>
      <c r="Z8" s="2109"/>
      <c r="AA8" s="2117"/>
      <c r="AB8" s="2109"/>
      <c r="AC8" s="207"/>
      <c r="AD8" s="207"/>
      <c r="AE8" s="211" t="str">
        <f>AF7&amp;"-"&amp;AH7</f>
        <v>-</v>
      </c>
      <c r="AF8" s="2117"/>
      <c r="AG8" s="2109"/>
      <c r="AH8" s="2119"/>
      <c r="AI8" s="2109"/>
      <c r="AJ8" s="1214"/>
      <c r="AK8" s="2177"/>
      <c r="AM8" s="368"/>
      <c r="AN8" s="368" t="str">
        <f t="shared" si="0"/>
        <v/>
      </c>
      <c r="AO8" s="368"/>
      <c r="AP8" s="368"/>
    </row>
    <row r="9" spans="1:42" ht="21" hidden="1" customHeight="1">
      <c r="A9" s="1143"/>
      <c r="B9" s="1143"/>
      <c r="C9" s="1143"/>
      <c r="D9" s="1143"/>
      <c r="E9" s="2112"/>
      <c r="F9" s="2112"/>
      <c r="G9" s="2112"/>
      <c r="H9" s="2112"/>
      <c r="I9" s="2114"/>
      <c r="J9" s="2113"/>
      <c r="K9" s="1143"/>
      <c r="L9" s="1144"/>
      <c r="P9" s="2115"/>
      <c r="Q9" s="2115"/>
      <c r="R9" s="237"/>
      <c r="S9" s="1062"/>
      <c r="T9" s="163" t="s">
        <v>412</v>
      </c>
      <c r="U9" s="251"/>
      <c r="V9" s="251"/>
      <c r="W9" s="251"/>
      <c r="X9" s="251"/>
      <c r="Y9" s="251"/>
      <c r="Z9" s="251"/>
      <c r="AA9" s="251"/>
      <c r="AB9" s="251"/>
      <c r="AC9" s="251"/>
      <c r="AD9" s="251"/>
      <c r="AE9" s="251"/>
      <c r="AF9" s="251"/>
      <c r="AG9" s="251"/>
      <c r="AH9" s="251"/>
      <c r="AI9" s="251"/>
      <c r="AJ9" s="251"/>
      <c r="AK9" s="1044" t="s">
        <v>413</v>
      </c>
      <c r="AM9" s="368"/>
      <c r="AN9" s="368" t="str">
        <f t="shared" si="0"/>
        <v>Добавить значение признака дифференциации</v>
      </c>
      <c r="AO9" s="368"/>
      <c r="AP9" s="368"/>
    </row>
    <row r="10" spans="1:42" ht="21" hidden="1" customHeight="1">
      <c r="A10" s="1143"/>
      <c r="B10" s="1143"/>
      <c r="C10" s="1143"/>
      <c r="D10" s="1143"/>
      <c r="E10" s="2112"/>
      <c r="F10" s="2112"/>
      <c r="G10" s="2112"/>
      <c r="H10" s="2112"/>
      <c r="I10" s="2113"/>
      <c r="J10" s="1143"/>
      <c r="K10" s="1143"/>
      <c r="L10" s="1144"/>
      <c r="P10" s="2115"/>
      <c r="Q10" s="1251"/>
      <c r="R10" s="237"/>
      <c r="S10" s="1062"/>
      <c r="T10" s="248" t="s">
        <v>338</v>
      </c>
      <c r="U10" s="251"/>
      <c r="V10" s="251"/>
      <c r="W10" s="251"/>
      <c r="X10" s="251"/>
      <c r="Y10" s="251"/>
      <c r="Z10" s="251"/>
      <c r="AA10" s="251"/>
      <c r="AB10" s="250"/>
      <c r="AC10" s="251"/>
      <c r="AD10" s="251"/>
      <c r="AE10" s="251"/>
      <c r="AF10" s="251"/>
      <c r="AG10" s="251"/>
      <c r="AH10" s="251"/>
      <c r="AI10" s="250"/>
      <c r="AJ10" s="251"/>
      <c r="AK10" s="1215"/>
      <c r="AM10" s="368"/>
      <c r="AN10" s="368" t="str">
        <f t="shared" si="0"/>
        <v>Добавить группу потребителей</v>
      </c>
      <c r="AO10" s="368"/>
      <c r="AP10" s="368"/>
    </row>
    <row r="11" spans="1:42" ht="21" hidden="1" customHeight="1">
      <c r="A11" s="1143"/>
      <c r="B11" s="1143"/>
      <c r="C11" s="1143"/>
      <c r="D11" s="1143"/>
      <c r="E11" s="2112"/>
      <c r="F11" s="2112"/>
      <c r="G11" s="2112"/>
      <c r="H11" s="2111"/>
      <c r="I11" s="1143"/>
      <c r="J11" s="1143"/>
      <c r="K11" s="1143"/>
      <c r="L11" s="1144"/>
      <c r="M11" s="1145"/>
      <c r="N11" s="1145"/>
      <c r="O11" s="395"/>
      <c r="P11" s="241"/>
      <c r="Q11" s="260"/>
      <c r="R11" s="236"/>
      <c r="S11" s="1062"/>
      <c r="T11" s="256" t="s">
        <v>414</v>
      </c>
      <c r="U11" s="251"/>
      <c r="V11" s="251"/>
      <c r="W11" s="251"/>
      <c r="X11" s="251"/>
      <c r="Y11" s="251"/>
      <c r="Z11" s="251"/>
      <c r="AA11" s="251"/>
      <c r="AB11" s="250"/>
      <c r="AC11" s="251"/>
      <c r="AD11" s="251"/>
      <c r="AE11" s="251"/>
      <c r="AF11" s="251"/>
      <c r="AG11" s="251"/>
      <c r="AH11" s="251"/>
      <c r="AI11" s="250"/>
      <c r="AJ11" s="251"/>
      <c r="AK11" s="178"/>
      <c r="AM11" s="368"/>
      <c r="AN11" s="368" t="str">
        <f t="shared" si="0"/>
        <v>Добавить наименование признака дифференциации</v>
      </c>
      <c r="AO11" s="368"/>
      <c r="AP11" s="368"/>
    </row>
    <row r="12" spans="1:42" s="1686" customFormat="1" ht="14.25" hidden="1" customHeight="1">
      <c r="A12" s="1124"/>
      <c r="B12" s="1124"/>
      <c r="C12" s="1096"/>
      <c r="D12" s="1096"/>
      <c r="E12" s="2112"/>
      <c r="F12" s="2111"/>
      <c r="G12" s="1096"/>
      <c r="H12" s="1096"/>
      <c r="I12" s="1096"/>
      <c r="J12" s="1096"/>
      <c r="K12" s="1096"/>
      <c r="L12" s="1264"/>
      <c r="M12" s="1103"/>
      <c r="N12" s="1103"/>
      <c r="P12" s="1098"/>
      <c r="Q12" s="1099"/>
      <c r="R12" s="1098"/>
      <c r="S12" s="1104"/>
      <c r="T12" s="1107" t="s">
        <v>341</v>
      </c>
      <c r="U12" s="1106"/>
      <c r="V12" s="1106"/>
      <c r="W12" s="1106"/>
      <c r="X12" s="1106"/>
      <c r="Y12" s="1106"/>
      <c r="Z12" s="1106"/>
      <c r="AA12" s="1106"/>
      <c r="AB12" s="1106"/>
      <c r="AC12" s="1106"/>
      <c r="AD12" s="1106"/>
      <c r="AE12" s="1106"/>
      <c r="AF12" s="1106"/>
      <c r="AG12" s="1106"/>
      <c r="AH12" s="1106"/>
      <c r="AI12" s="1106"/>
      <c r="AJ12" s="1106"/>
      <c r="AK12" s="1106"/>
      <c r="AM12" s="598"/>
      <c r="AN12" s="598" t="str">
        <f t="shared" si="0"/>
        <v>Добавить централизованную систему для дифференциации</v>
      </c>
      <c r="AO12" s="598"/>
      <c r="AP12" s="598"/>
    </row>
    <row r="13" spans="1:42" s="1622" customFormat="1" ht="14.25" hidden="1" customHeight="1">
      <c r="A13" s="1124"/>
      <c r="B13" s="1124"/>
      <c r="C13" s="1124"/>
      <c r="D13" s="1124"/>
      <c r="E13" s="2111"/>
      <c r="F13" s="1124"/>
      <c r="G13" s="1124"/>
      <c r="H13" s="1124"/>
      <c r="I13" s="1124"/>
      <c r="J13" s="1124"/>
      <c r="K13" s="1124"/>
      <c r="L13" s="1127"/>
      <c r="M13" s="1103"/>
      <c r="N13" s="1103"/>
      <c r="O13" s="386"/>
      <c r="P13" s="269"/>
      <c r="Q13" s="1125"/>
      <c r="R13" s="269"/>
      <c r="S13" s="1104"/>
      <c r="T13" s="1107" t="s">
        <v>342</v>
      </c>
      <c r="U13" s="1106"/>
      <c r="V13" s="1106"/>
      <c r="W13" s="1106"/>
      <c r="X13" s="1106"/>
      <c r="Y13" s="1106"/>
      <c r="Z13" s="1106"/>
      <c r="AA13" s="1106"/>
      <c r="AB13" s="1106"/>
      <c r="AC13" s="1106"/>
      <c r="AD13" s="1106"/>
      <c r="AE13" s="1106"/>
      <c r="AF13" s="1106"/>
      <c r="AG13" s="1106"/>
      <c r="AH13" s="1106"/>
      <c r="AI13" s="1106"/>
      <c r="AJ13" s="1106"/>
      <c r="AK13" s="1106"/>
      <c r="AM13" s="368"/>
      <c r="AN13" s="368" t="str">
        <f t="shared" si="0"/>
        <v>Добавить территорию для дифференциации</v>
      </c>
      <c r="AO13" s="368"/>
      <c r="AP13" s="368"/>
    </row>
    <row r="14" spans="1:42" ht="14.25" hidden="1" customHeight="1">
      <c r="AB14" s="210"/>
      <c r="AI14" s="210"/>
    </row>
    <row r="15" spans="1:42" ht="14.25" hidden="1" customHeight="1">
      <c r="AC15" s="1140"/>
      <c r="AD15" s="1140"/>
      <c r="AE15" s="1141"/>
      <c r="AF15" s="2108"/>
      <c r="AG15" s="2107" t="s">
        <v>16</v>
      </c>
      <c r="AH15" s="2108"/>
      <c r="AI15" s="2107" t="s">
        <v>16</v>
      </c>
    </row>
    <row r="16" spans="1:42" ht="14.25" hidden="1" customHeight="1">
      <c r="AC16" s="1140"/>
      <c r="AD16" s="1140"/>
      <c r="AE16" s="211" t="str">
        <f>AF15&amp;"-"&amp;AH15</f>
        <v>-</v>
      </c>
      <c r="AF16" s="2107"/>
      <c r="AG16" s="2107"/>
      <c r="AH16" s="2107"/>
      <c r="AI16" s="2107"/>
    </row>
    <row r="17" spans="1:42" ht="14.25" hidden="1" customHeight="1">
      <c r="AI17" s="210"/>
    </row>
    <row r="18" spans="1:42" s="1687" customFormat="1" ht="22.5" hidden="1" customHeight="1">
      <c r="L18" s="1248"/>
      <c r="M18" s="1142"/>
      <c r="N18" s="1142"/>
      <c r="O18" s="1147" t="s">
        <v>343</v>
      </c>
      <c r="P18" s="1142"/>
      <c r="Q18" s="1151"/>
      <c r="R18" s="1151"/>
      <c r="S18" s="556"/>
      <c r="Y18" s="1147"/>
      <c r="AA18" s="1147"/>
      <c r="AB18" s="1146"/>
      <c r="AF18" s="1147"/>
      <c r="AH18" s="1147"/>
      <c r="AI18" s="1146"/>
      <c r="AL18" s="379"/>
      <c r="AM18" s="379"/>
      <c r="AN18" s="379"/>
      <c r="AO18" s="379"/>
      <c r="AP18" s="379"/>
    </row>
    <row r="19" spans="1:42" s="1687" customFormat="1" ht="14.25" hidden="1" customHeight="1">
      <c r="L19" s="1248"/>
      <c r="M19" s="1142"/>
      <c r="N19" s="1142"/>
      <c r="O19" s="1142"/>
      <c r="P19" s="1142"/>
      <c r="Q19" s="1151"/>
      <c r="R19" s="1151"/>
      <c r="S19" s="556"/>
      <c r="AB19" s="1146"/>
      <c r="AI19" s="1146"/>
      <c r="AL19" s="379"/>
      <c r="AM19" s="379"/>
      <c r="AN19" s="379"/>
      <c r="AO19" s="379"/>
      <c r="AP19" s="379"/>
    </row>
    <row r="20" spans="1:42" s="1687" customFormat="1" ht="12" hidden="1" customHeight="1">
      <c r="L20" s="1248"/>
      <c r="M20" s="1142"/>
      <c r="N20" s="1142"/>
      <c r="O20" s="1144" t="s">
        <v>344</v>
      </c>
      <c r="P20" s="1142"/>
      <c r="Q20" s="1216"/>
      <c r="R20" s="1216"/>
      <c r="S20" s="556"/>
      <c r="T20" s="929" t="s">
        <v>345</v>
      </c>
      <c r="Z20" s="86" t="s">
        <v>346</v>
      </c>
      <c r="AB20" s="86" t="s">
        <v>347</v>
      </c>
      <c r="AC20" s="929" t="s">
        <v>345</v>
      </c>
      <c r="AG20" s="86" t="s">
        <v>348</v>
      </c>
      <c r="AI20" s="86" t="s">
        <v>347</v>
      </c>
    </row>
    <row r="21" spans="1:42" ht="14.25" hidden="1" customHeight="1">
      <c r="O21" s="1144"/>
    </row>
    <row r="22" spans="1:42" ht="14.25" hidden="1" customHeight="1">
      <c r="O22" s="1144"/>
    </row>
    <row r="23" spans="1:42" ht="14.25" customHeight="1">
      <c r="Q23" s="261"/>
      <c r="R23" s="261"/>
      <c r="S23" s="1059"/>
      <c r="T23" s="246"/>
      <c r="U23" s="246"/>
      <c r="V23" s="377"/>
      <c r="W23" s="377"/>
      <c r="X23" s="377"/>
      <c r="Y23" s="377"/>
      <c r="Z23" s="377"/>
      <c r="AA23" s="377"/>
      <c r="AB23" s="377"/>
      <c r="AC23" s="377"/>
      <c r="AD23" s="377"/>
      <c r="AE23" s="377"/>
      <c r="AF23" s="377"/>
      <c r="AG23" s="377"/>
      <c r="AH23" s="377"/>
      <c r="AI23" s="377"/>
    </row>
    <row r="24" spans="1:42" ht="26.25" customHeight="1">
      <c r="Q24" s="261"/>
      <c r="R24" s="261"/>
      <c r="S24" s="208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88"/>
      <c r="U24" s="2088"/>
      <c r="V24" s="2088"/>
      <c r="W24" s="2088"/>
      <c r="X24" s="2088"/>
      <c r="Y24" s="2088"/>
      <c r="Z24" s="2088"/>
      <c r="AA24" s="2088"/>
      <c r="AB24" s="2088"/>
      <c r="AC24" s="2088"/>
      <c r="AD24" s="2088"/>
      <c r="AE24" s="2088"/>
      <c r="AF24" s="2088"/>
      <c r="AG24" s="2088"/>
      <c r="AH24" s="2088"/>
      <c r="AI24" s="1019"/>
    </row>
    <row r="25" spans="1:42" ht="14.25" customHeight="1">
      <c r="Q25" s="261"/>
      <c r="R25" s="261"/>
      <c r="S25" s="2059" t="e">
        <f>IF(org=0,"Не определено",org)</f>
        <v>#REF!</v>
      </c>
      <c r="T25" s="2059"/>
      <c r="U25" s="2059"/>
      <c r="V25" s="2059"/>
      <c r="W25" s="2059"/>
      <c r="X25" s="2059"/>
      <c r="Y25" s="2059"/>
      <c r="Z25" s="2059"/>
      <c r="AA25" s="2059"/>
      <c r="AB25" s="2059"/>
      <c r="AC25" s="2059"/>
      <c r="AD25" s="2059"/>
      <c r="AE25" s="2059"/>
      <c r="AF25" s="2059"/>
      <c r="AG25" s="2059"/>
      <c r="AH25" s="2059"/>
      <c r="AI25" s="1019"/>
    </row>
    <row r="26" spans="1:42" ht="14.25" customHeight="1">
      <c r="Q26" s="261"/>
      <c r="R26" s="261"/>
      <c r="S26" s="1059"/>
      <c r="T26" s="246"/>
      <c r="U26" s="246"/>
      <c r="V26" s="203"/>
      <c r="W26" s="203"/>
      <c r="X26" s="203"/>
      <c r="Y26" s="203"/>
      <c r="Z26" s="203"/>
      <c r="AA26" s="203"/>
      <c r="AB26" s="203"/>
      <c r="AC26" s="203"/>
      <c r="AD26" s="203"/>
      <c r="AE26" s="203"/>
      <c r="AF26" s="203"/>
      <c r="AG26" s="203"/>
      <c r="AH26" s="203"/>
      <c r="AI26" s="203"/>
      <c r="AJ26" s="377"/>
    </row>
    <row r="27" spans="1:42" s="1692" customFormat="1" ht="25.5" customHeight="1">
      <c r="A27" s="1148"/>
      <c r="B27" s="1148"/>
      <c r="C27" s="1148"/>
      <c r="D27" s="1148"/>
      <c r="E27" s="1148"/>
      <c r="F27" s="1148"/>
      <c r="G27" s="1148"/>
      <c r="H27" s="1148"/>
      <c r="I27" s="1148"/>
      <c r="J27" s="1148"/>
      <c r="K27" s="1148"/>
      <c r="L27" s="1149"/>
      <c r="M27" s="1148"/>
      <c r="N27" s="1148"/>
      <c r="O27" s="1148"/>
      <c r="S27" s="2101" t="s">
        <v>6</v>
      </c>
      <c r="T27" s="2101"/>
      <c r="U27" s="1152"/>
      <c r="V27" s="2103" t="e">
        <f>IF(TITLE_NAME_OR_PR_CHANGE="",IF(TITLE_NAME_OR_PR="","",TITLE_NAME_OR_PR),TITLE_NAME_OR_PR_CHANGE)</f>
        <v>#REF!</v>
      </c>
      <c r="W27" s="2103"/>
      <c r="X27" s="2103"/>
      <c r="Y27" s="2103"/>
      <c r="Z27" s="2103"/>
      <c r="AA27" s="2103"/>
      <c r="AB27" s="209"/>
      <c r="AC27" s="2103" t="e">
        <f>IF(TITLE_NAME_OR_PR_CHANGE="",IF(TITLE_NAME_OR_PR="","",TITLE_NAME_OR_PR),TITLE_NAME_OR_PR_CHANGE)</f>
        <v>#REF!</v>
      </c>
      <c r="AD27" s="2103"/>
      <c r="AE27" s="2103"/>
      <c r="AF27" s="2103"/>
      <c r="AG27" s="2103"/>
      <c r="AH27" s="2103"/>
      <c r="AI27" s="209"/>
      <c r="AJ27" s="209"/>
      <c r="AK27" s="157"/>
      <c r="AL27" s="252"/>
      <c r="AM27" s="252"/>
      <c r="AN27" s="252"/>
      <c r="AO27" s="252"/>
      <c r="AP27" s="252"/>
    </row>
    <row r="28" spans="1:42" s="1692" customFormat="1" ht="18.75" customHeight="1">
      <c r="A28" s="1148"/>
      <c r="B28" s="1148"/>
      <c r="C28" s="1148"/>
      <c r="D28" s="1148"/>
      <c r="E28" s="1148"/>
      <c r="F28" s="1148"/>
      <c r="G28" s="1148"/>
      <c r="H28" s="1148"/>
      <c r="I28" s="1148"/>
      <c r="J28" s="1148"/>
      <c r="K28" s="1148"/>
      <c r="L28" s="1149"/>
      <c r="M28" s="1148"/>
      <c r="N28" s="1148"/>
      <c r="O28" s="1148"/>
      <c r="S28" s="2101" t="s">
        <v>349</v>
      </c>
      <c r="T28" s="2101"/>
      <c r="U28" s="1152"/>
      <c r="V28" s="2102" t="e">
        <f>IF(TITLE_DATE_PR_CHANGE="",IF(TITLE_DATE_PR="","",TITLE_DATE_PR),TITLE_DATE_PR_CHANGE)</f>
        <v>#REF!</v>
      </c>
      <c r="W28" s="2102"/>
      <c r="X28" s="2102"/>
      <c r="Y28" s="2102"/>
      <c r="Z28" s="2102"/>
      <c r="AA28" s="2102"/>
      <c r="AB28" s="209"/>
      <c r="AC28" s="2102" t="e">
        <f>IF(TITLE_DATE_PR_CHANGE="",IF(TITLE_DATE_PR="","",TITLE_DATE_PR),TITLE_DATE_PR_CHANGE)</f>
        <v>#REF!</v>
      </c>
      <c r="AD28" s="2102"/>
      <c r="AE28" s="2102"/>
      <c r="AF28" s="2102"/>
      <c r="AG28" s="2102"/>
      <c r="AH28" s="2102"/>
      <c r="AI28" s="209"/>
      <c r="AJ28" s="209"/>
      <c r="AK28" s="157"/>
      <c r="AL28" s="252"/>
      <c r="AM28" s="252"/>
      <c r="AN28" s="252"/>
      <c r="AO28" s="252"/>
      <c r="AP28" s="252"/>
    </row>
    <row r="29" spans="1:42" s="1692" customFormat="1" ht="18.75" customHeight="1">
      <c r="A29" s="1148"/>
      <c r="B29" s="1148"/>
      <c r="C29" s="1148"/>
      <c r="D29" s="1148"/>
      <c r="E29" s="1148"/>
      <c r="F29" s="1148"/>
      <c r="G29" s="1148"/>
      <c r="H29" s="1148"/>
      <c r="I29" s="1148"/>
      <c r="J29" s="1148"/>
      <c r="K29" s="1148"/>
      <c r="L29" s="1149"/>
      <c r="M29" s="1148"/>
      <c r="N29" s="1148"/>
      <c r="O29" s="1148"/>
      <c r="S29" s="2101" t="s">
        <v>350</v>
      </c>
      <c r="T29" s="2101"/>
      <c r="U29" s="1152"/>
      <c r="V29" s="2103" t="e">
        <f>IF(TITLE_NUMBER_PR_CHANGE="",IF(TITLE_NUMBER_PR="","",TITLE_NUMBER_PR),TITLE_NUMBER_PR_CHANGE)</f>
        <v>#REF!</v>
      </c>
      <c r="W29" s="2103"/>
      <c r="X29" s="2103"/>
      <c r="Y29" s="2103"/>
      <c r="Z29" s="2103"/>
      <c r="AA29" s="2103"/>
      <c r="AB29" s="209"/>
      <c r="AC29" s="2103" t="e">
        <f>IF(TITLE_NUMBER_PR_CHANGE="",IF(TITLE_NUMBER_PR="","",TITLE_NUMBER_PR),TITLE_NUMBER_PR_CHANGE)</f>
        <v>#REF!</v>
      </c>
      <c r="AD29" s="2103"/>
      <c r="AE29" s="2103"/>
      <c r="AF29" s="2103"/>
      <c r="AG29" s="2103"/>
      <c r="AH29" s="2103"/>
      <c r="AI29" s="209"/>
      <c r="AJ29" s="209"/>
      <c r="AK29" s="157"/>
      <c r="AL29" s="252"/>
      <c r="AM29" s="252"/>
      <c r="AN29" s="252"/>
      <c r="AO29" s="252"/>
      <c r="AP29" s="252"/>
    </row>
    <row r="30" spans="1:42" s="1692" customFormat="1" ht="18.75" customHeight="1">
      <c r="A30" s="1148"/>
      <c r="B30" s="1148"/>
      <c r="C30" s="1148"/>
      <c r="D30" s="1148"/>
      <c r="E30" s="1148"/>
      <c r="F30" s="1148"/>
      <c r="G30" s="1148"/>
      <c r="H30" s="1148"/>
      <c r="I30" s="1148"/>
      <c r="J30" s="1148"/>
      <c r="K30" s="1148"/>
      <c r="L30" s="1149"/>
      <c r="M30" s="1148"/>
      <c r="N30" s="1148"/>
      <c r="O30" s="1148"/>
      <c r="S30" s="2101" t="s">
        <v>7</v>
      </c>
      <c r="T30" s="2101"/>
      <c r="U30" s="1152"/>
      <c r="V30" s="2103" t="e">
        <f>IF(TITLE_IST_PUB_CHANGE="",IF(TITLE_IST_PUB="","",TITLE_IST_PUB),TITLE_IST_PUB_CHANGE)</f>
        <v>#REF!</v>
      </c>
      <c r="W30" s="2103"/>
      <c r="X30" s="2103"/>
      <c r="Y30" s="2103"/>
      <c r="Z30" s="2103"/>
      <c r="AA30" s="2103"/>
      <c r="AB30" s="209"/>
      <c r="AC30" s="2103" t="e">
        <f>IF(TITLE_IST_PUB_CHANGE="",IF(TITLE_IST_PUB="","",TITLE_IST_PUB),TITLE_IST_PUB_CHANGE)</f>
        <v>#REF!</v>
      </c>
      <c r="AD30" s="2103"/>
      <c r="AE30" s="2103"/>
      <c r="AF30" s="2103"/>
      <c r="AG30" s="2103"/>
      <c r="AH30" s="2103"/>
      <c r="AI30" s="209"/>
      <c r="AJ30" s="209"/>
      <c r="AK30" s="157"/>
      <c r="AL30" s="252"/>
      <c r="AM30" s="252"/>
      <c r="AN30" s="252"/>
      <c r="AO30" s="252"/>
      <c r="AP30" s="252"/>
    </row>
    <row r="31" spans="1:42" ht="14.25" customHeight="1">
      <c r="Q31" s="261"/>
      <c r="R31" s="261"/>
      <c r="S31" s="1059"/>
      <c r="T31" s="246"/>
      <c r="U31" s="246"/>
      <c r="V31" s="203"/>
      <c r="W31" s="203"/>
      <c r="X31" s="203"/>
      <c r="Y31" s="203"/>
      <c r="Z31" s="203"/>
      <c r="AA31" s="203"/>
      <c r="AB31" s="203"/>
      <c r="AC31" s="203"/>
      <c r="AD31" s="203"/>
      <c r="AE31" s="203"/>
      <c r="AF31" s="203"/>
      <c r="AG31" s="203"/>
      <c r="AH31" s="203"/>
      <c r="AI31" s="203"/>
      <c r="AJ31" s="377"/>
    </row>
    <row r="32" spans="1:42" s="1692" customFormat="1" ht="18.75" customHeight="1">
      <c r="A32" s="1148"/>
      <c r="B32" s="1148"/>
      <c r="C32" s="1148"/>
      <c r="D32" s="1148"/>
      <c r="E32" s="1148"/>
      <c r="F32" s="1148"/>
      <c r="G32" s="1148"/>
      <c r="H32" s="1148"/>
      <c r="I32" s="1148"/>
      <c r="J32" s="1148"/>
      <c r="K32" s="1148"/>
      <c r="L32" s="1149"/>
      <c r="M32" s="1148"/>
      <c r="N32" s="1148"/>
      <c r="O32" s="1148"/>
      <c r="S32" s="2101" t="s">
        <v>351</v>
      </c>
      <c r="T32" s="2101"/>
      <c r="U32" s="1152"/>
      <c r="V32" s="2102" t="e">
        <f>IF(TITLE_DATE_PR_CHANGE="",IF(TITLE_DATE_PR="","",TITLE_DATE_PR),TITLE_DATE_PR_CHANGE)</f>
        <v>#REF!</v>
      </c>
      <c r="W32" s="2102"/>
      <c r="X32" s="2102"/>
      <c r="Y32" s="2102"/>
      <c r="Z32" s="2102"/>
      <c r="AA32" s="2102"/>
      <c r="AB32" s="209"/>
      <c r="AC32" s="2102" t="e">
        <f>IF(TITLE_DATE_PR_CHANGE="",IF(TITLE_DATE_PR="","",TITLE_DATE_PR),TITLE_DATE_PR_CHANGE)</f>
        <v>#REF!</v>
      </c>
      <c r="AD32" s="2102"/>
      <c r="AE32" s="2102"/>
      <c r="AF32" s="2102"/>
      <c r="AG32" s="2102"/>
      <c r="AH32" s="2102"/>
      <c r="AI32" s="209"/>
      <c r="AJ32" s="209"/>
      <c r="AK32" s="157"/>
      <c r="AL32" s="252"/>
      <c r="AM32" s="252"/>
      <c r="AN32" s="252"/>
      <c r="AO32" s="252"/>
      <c r="AP32" s="252"/>
    </row>
    <row r="33" spans="1:42" s="1692" customFormat="1" ht="18.75" customHeight="1">
      <c r="A33" s="1148"/>
      <c r="B33" s="1148"/>
      <c r="C33" s="1148"/>
      <c r="D33" s="1148"/>
      <c r="E33" s="1148"/>
      <c r="F33" s="1148"/>
      <c r="G33" s="1148"/>
      <c r="H33" s="1148"/>
      <c r="I33" s="1148"/>
      <c r="J33" s="1148"/>
      <c r="K33" s="1148"/>
      <c r="L33" s="1149"/>
      <c r="M33" s="1148"/>
      <c r="N33" s="1148"/>
      <c r="O33" s="1148"/>
      <c r="S33" s="2101" t="s">
        <v>352</v>
      </c>
      <c r="T33" s="2101"/>
      <c r="U33" s="1152"/>
      <c r="V33" s="2103" t="e">
        <f>IF(TITLE_NUMBER_PR_CHANGE="",IF(TITLE_NUMBER_PR="","",TITLE_NUMBER_PR),TITLE_NUMBER_PR_CHANGE)</f>
        <v>#REF!</v>
      </c>
      <c r="W33" s="2103"/>
      <c r="X33" s="2103"/>
      <c r="Y33" s="2103"/>
      <c r="Z33" s="2103"/>
      <c r="AA33" s="2103"/>
      <c r="AB33" s="209"/>
      <c r="AC33" s="2103" t="e">
        <f>IF(TITLE_NUMBER_PR_CHANGE="",IF(TITLE_NUMBER_PR="","",TITLE_NUMBER_PR),TITLE_NUMBER_PR_CHANGE)</f>
        <v>#REF!</v>
      </c>
      <c r="AD33" s="2103"/>
      <c r="AE33" s="2103"/>
      <c r="AF33" s="2103"/>
      <c r="AG33" s="2103"/>
      <c r="AH33" s="2103"/>
      <c r="AI33" s="209"/>
      <c r="AJ33" s="209"/>
      <c r="AK33" s="157"/>
      <c r="AL33" s="252"/>
      <c r="AM33" s="252"/>
      <c r="AN33" s="252"/>
      <c r="AO33" s="252"/>
      <c r="AP33" s="252"/>
    </row>
    <row r="34" spans="1:42" s="1692" customFormat="1" ht="0.75" customHeight="1">
      <c r="A34" s="1148"/>
      <c r="B34" s="1148"/>
      <c r="C34" s="1148"/>
      <c r="D34" s="1148"/>
      <c r="E34" s="1148"/>
      <c r="F34" s="1148"/>
      <c r="G34" s="1148"/>
      <c r="H34" s="1148"/>
      <c r="I34" s="1148"/>
      <c r="J34" s="1148"/>
      <c r="K34" s="1148"/>
      <c r="L34" s="1149"/>
      <c r="M34" s="1148"/>
      <c r="N34" s="1148"/>
      <c r="O34" s="1148"/>
      <c r="S34" s="205"/>
      <c r="T34" s="205"/>
      <c r="U34" s="1258"/>
      <c r="V34" s="209"/>
      <c r="W34" s="209"/>
      <c r="X34" s="209"/>
      <c r="Y34" s="209"/>
      <c r="Z34" s="209"/>
      <c r="AA34" s="209"/>
      <c r="AB34" s="155" t="s">
        <v>353</v>
      </c>
      <c r="AC34" s="209"/>
      <c r="AD34" s="209"/>
      <c r="AE34" s="209"/>
      <c r="AF34" s="209"/>
      <c r="AG34" s="209"/>
      <c r="AH34" s="209"/>
      <c r="AI34" s="155" t="s">
        <v>353</v>
      </c>
      <c r="AL34" s="252"/>
      <c r="AM34" s="252"/>
      <c r="AN34" s="252"/>
      <c r="AO34" s="252"/>
      <c r="AP34" s="252"/>
    </row>
    <row r="35" spans="1:42" ht="14.25" customHeight="1">
      <c r="Q35" s="261"/>
      <c r="R35" s="261"/>
      <c r="S35" s="1059"/>
      <c r="T35" s="246"/>
      <c r="U35" s="1020"/>
      <c r="V35" s="2123"/>
      <c r="W35" s="2123"/>
      <c r="X35" s="2123"/>
      <c r="Y35" s="2123"/>
      <c r="Z35" s="2123"/>
      <c r="AA35" s="2123"/>
      <c r="AB35" s="2123"/>
      <c r="AC35" s="2123"/>
      <c r="AD35" s="2123"/>
      <c r="AE35" s="2123"/>
      <c r="AF35" s="2123"/>
      <c r="AG35" s="2123"/>
      <c r="AH35" s="2123"/>
      <c r="AI35" s="2123"/>
    </row>
    <row r="36" spans="1:42" ht="14.25" customHeight="1">
      <c r="Q36" s="261"/>
      <c r="R36" s="261"/>
      <c r="S36" s="2025" t="s">
        <v>224</v>
      </c>
      <c r="T36" s="2025"/>
      <c r="U36" s="2025"/>
      <c r="V36" s="2025"/>
      <c r="W36" s="2025"/>
      <c r="X36" s="2025"/>
      <c r="Y36" s="2025"/>
      <c r="Z36" s="2025"/>
      <c r="AA36" s="2025"/>
      <c r="AB36" s="2025"/>
      <c r="AC36" s="2025"/>
      <c r="AD36" s="2025"/>
      <c r="AE36" s="2025"/>
      <c r="AF36" s="2025"/>
      <c r="AG36" s="2025"/>
      <c r="AH36" s="2025"/>
      <c r="AI36" s="2025"/>
      <c r="AJ36" s="2025"/>
      <c r="AK36" s="2025" t="s">
        <v>225</v>
      </c>
    </row>
    <row r="37" spans="1:42" ht="14.25" customHeight="1">
      <c r="Q37" s="261"/>
      <c r="R37" s="261"/>
      <c r="S37" s="2124" t="s">
        <v>22</v>
      </c>
      <c r="T37" s="2068" t="s">
        <v>354</v>
      </c>
      <c r="U37" s="176"/>
      <c r="V37" s="2125" t="s">
        <v>355</v>
      </c>
      <c r="W37" s="2126"/>
      <c r="X37" s="2126"/>
      <c r="Y37" s="2126"/>
      <c r="Z37" s="2126"/>
      <c r="AA37" s="2127"/>
      <c r="AB37" s="2128" t="s">
        <v>356</v>
      </c>
      <c r="AC37" s="2125" t="s">
        <v>355</v>
      </c>
      <c r="AD37" s="2126"/>
      <c r="AE37" s="2126"/>
      <c r="AF37" s="2126"/>
      <c r="AG37" s="2126"/>
      <c r="AH37" s="2127"/>
      <c r="AI37" s="2128" t="s">
        <v>357</v>
      </c>
      <c r="AJ37" s="2131" t="s">
        <v>358</v>
      </c>
      <c r="AK37" s="2025"/>
    </row>
    <row r="38" spans="1:42" ht="33.75" customHeight="1">
      <c r="Q38" s="261"/>
      <c r="R38" s="261"/>
      <c r="S38" s="2124"/>
      <c r="T38" s="2068"/>
      <c r="U38" s="814"/>
      <c r="V38" s="1253" t="s">
        <v>456</v>
      </c>
      <c r="W38" s="1956" t="s">
        <v>457</v>
      </c>
      <c r="X38" s="1958"/>
      <c r="Y38" s="1956" t="s">
        <v>362</v>
      </c>
      <c r="Z38" s="1957"/>
      <c r="AA38" s="1958"/>
      <c r="AB38" s="2129"/>
      <c r="AC38" s="1253" t="s">
        <v>456</v>
      </c>
      <c r="AD38" s="1956" t="s">
        <v>457</v>
      </c>
      <c r="AE38" s="1958"/>
      <c r="AF38" s="1956" t="s">
        <v>362</v>
      </c>
      <c r="AG38" s="1957"/>
      <c r="AH38" s="1958"/>
      <c r="AI38" s="2129"/>
      <c r="AJ38" s="2132"/>
      <c r="AK38" s="2025"/>
    </row>
    <row r="39" spans="1:42" ht="86.25" customHeight="1">
      <c r="A39" s="1150"/>
      <c r="B39" s="1150" t="s">
        <v>73</v>
      </c>
      <c r="C39" s="1150" t="s">
        <v>74</v>
      </c>
      <c r="D39" s="1150" t="s">
        <v>75</v>
      </c>
      <c r="E39" s="1144" t="s">
        <v>363</v>
      </c>
      <c r="F39" s="1144" t="s">
        <v>364</v>
      </c>
      <c r="G39" s="1144" t="s">
        <v>365</v>
      </c>
      <c r="H39" s="1144"/>
      <c r="I39" s="1144" t="s">
        <v>416</v>
      </c>
      <c r="J39" s="1144" t="s">
        <v>368</v>
      </c>
      <c r="K39" s="1144" t="s">
        <v>417</v>
      </c>
      <c r="L39" s="1144" t="s">
        <v>344</v>
      </c>
      <c r="Q39" s="261"/>
      <c r="R39" s="261"/>
      <c r="S39" s="2124"/>
      <c r="T39" s="2068"/>
      <c r="U39" s="177"/>
      <c r="V39" s="1253" t="s">
        <v>458</v>
      </c>
      <c r="W39" s="995" t="s">
        <v>459</v>
      </c>
      <c r="X39" s="995" t="s">
        <v>460</v>
      </c>
      <c r="Y39" s="1259" t="s">
        <v>372</v>
      </c>
      <c r="Z39" s="2073" t="s">
        <v>373</v>
      </c>
      <c r="AA39" s="2087"/>
      <c r="AB39" s="2130"/>
      <c r="AC39" s="1253" t="s">
        <v>458</v>
      </c>
      <c r="AD39" s="995" t="s">
        <v>459</v>
      </c>
      <c r="AE39" s="995" t="s">
        <v>460</v>
      </c>
      <c r="AF39" s="1259" t="s">
        <v>372</v>
      </c>
      <c r="AG39" s="2073" t="s">
        <v>373</v>
      </c>
      <c r="AH39" s="2087"/>
      <c r="AI39" s="2130"/>
      <c r="AJ39" s="2133"/>
      <c r="AK39" s="2025"/>
    </row>
    <row r="40" spans="1:42" s="1621" customFormat="1" ht="11.25" hidden="1" customHeight="1">
      <c r="A40" s="1150"/>
      <c r="B40" s="1150"/>
      <c r="C40" s="1150"/>
      <c r="D40" s="1150"/>
      <c r="E40" s="1150"/>
      <c r="F40" s="1150"/>
      <c r="G40" s="1150"/>
      <c r="H40" s="1150"/>
      <c r="I40" s="1150"/>
      <c r="J40" s="1150"/>
      <c r="K40" s="1150"/>
      <c r="L40" s="1144"/>
      <c r="M40" s="1142"/>
      <c r="N40" s="1142"/>
      <c r="O40" s="1142"/>
      <c r="P40" s="1022"/>
      <c r="Q40" s="1023"/>
      <c r="R40" s="1038">
        <v>1</v>
      </c>
      <c r="S40" s="1061" t="s">
        <v>43</v>
      </c>
      <c r="T40" s="1039" t="s">
        <v>44</v>
      </c>
      <c r="U40" s="1021" t="str">
        <f ca="1">OFFSET(U40,0,-1)</f>
        <v>2</v>
      </c>
      <c r="V40" s="1252">
        <f ca="1">OFFSET(V40,0,-1)+1</f>
        <v>3</v>
      </c>
      <c r="W40" s="1252">
        <f ca="1">OFFSET(W40,0,-1)+1</f>
        <v>4</v>
      </c>
      <c r="X40" s="1252">
        <f ca="1">OFFSET(X40,0,-1)+1</f>
        <v>5</v>
      </c>
      <c r="Y40" s="1252">
        <f ca="1">OFFSET(Y40,0,-1)+1</f>
        <v>6</v>
      </c>
      <c r="Z40" s="2122">
        <f ca="1">OFFSET(Z40,0,-1)+1</f>
        <v>7</v>
      </c>
      <c r="AA40" s="2122"/>
      <c r="AB40" s="1252">
        <f ca="1">OFFSET(AB40,0,-2)+1</f>
        <v>8</v>
      </c>
      <c r="AC40" s="1252">
        <f ca="1">OFFSET(AC40,0,-1)+1</f>
        <v>9</v>
      </c>
      <c r="AD40" s="1252">
        <f ca="1">OFFSET(AD40,0,-1)+1</f>
        <v>10</v>
      </c>
      <c r="AE40" s="1252">
        <f ca="1">OFFSET(AE40,0,-1)+1</f>
        <v>11</v>
      </c>
      <c r="AF40" s="1252">
        <f ca="1">OFFSET(AF40,0,-1)+1</f>
        <v>12</v>
      </c>
      <c r="AG40" s="2122">
        <f ca="1">OFFSET(AG40,0,-1)+1</f>
        <v>13</v>
      </c>
      <c r="AH40" s="2122"/>
      <c r="AI40" s="1252">
        <f ca="1">OFFSET(AI40,0,-2)+1</f>
        <v>14</v>
      </c>
      <c r="AJ40" s="1021">
        <f ca="1">OFFSET(AJ40,0,-1)</f>
        <v>14</v>
      </c>
      <c r="AK40" s="1252">
        <f ca="1">OFFSET(AK40,0,-1)+1</f>
        <v>15</v>
      </c>
      <c r="AL40" s="379"/>
      <c r="AM40" s="379"/>
      <c r="AN40" s="379"/>
      <c r="AO40" s="379"/>
      <c r="AP40" s="379"/>
    </row>
    <row r="41" spans="1:42" ht="23.25" customHeight="1">
      <c r="A41" s="1143" t="s">
        <v>175</v>
      </c>
      <c r="B41" s="1143"/>
      <c r="C41" s="1143"/>
      <c r="D41" s="1143"/>
      <c r="E41" s="2111">
        <v>1</v>
      </c>
      <c r="F41" s="1143"/>
      <c r="G41" s="1143"/>
      <c r="H41" s="1143"/>
      <c r="I41" s="1143"/>
      <c r="J41" s="1143"/>
      <c r="K41" s="1143"/>
      <c r="L41" s="1144"/>
      <c r="M41" s="1145"/>
      <c r="N41" s="1145"/>
      <c r="O41" s="1145"/>
      <c r="P41" s="242"/>
      <c r="Q41" s="241"/>
      <c r="R41" s="236"/>
      <c r="S41" s="1263">
        <f>INDEX(PT_DIFFERENTIATION_NUM_NTAR,MATCH(A41,PT_DIFFERENTIATION_NTAR_ID,0))</f>
        <v>0</v>
      </c>
      <c r="T41" s="173" t="s">
        <v>61</v>
      </c>
      <c r="U41" s="175"/>
      <c r="V41" s="2104"/>
      <c r="W41" s="2105"/>
      <c r="X41" s="2105"/>
      <c r="Y41" s="2105"/>
      <c r="Z41" s="2105"/>
      <c r="AA41" s="2105"/>
      <c r="AB41" s="2106"/>
      <c r="AC41" s="2104" t="str">
        <f>INDEX(PT_DIFFERENTIATION_NTAR,MATCH(A41,PT_DIFFERENTIATION_NTAR_ID,0))</f>
        <v/>
      </c>
      <c r="AD41" s="2105"/>
      <c r="AE41" s="2105"/>
      <c r="AF41" s="2105"/>
      <c r="AG41" s="2105"/>
      <c r="AH41" s="2105"/>
      <c r="AI41" s="2105"/>
      <c r="AJ41" s="2106"/>
      <c r="AK41"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68"/>
      <c r="AN41" s="368" t="str">
        <f t="shared" ref="AN41:AN53" si="1">IF(T41="","",T41)</f>
        <v>Наименование тарифа</v>
      </c>
      <c r="AO41" s="368"/>
      <c r="AP41" s="368"/>
    </row>
    <row r="42" spans="1:42" ht="23.25" customHeight="1">
      <c r="A42" s="1143" t="s">
        <v>175</v>
      </c>
      <c r="B42" s="1143" t="s">
        <v>176</v>
      </c>
      <c r="C42" s="1143"/>
      <c r="D42" s="1143"/>
      <c r="E42" s="2112"/>
      <c r="F42" s="2111">
        <v>1</v>
      </c>
      <c r="G42" s="1143"/>
      <c r="H42" s="1143"/>
      <c r="I42" s="1143"/>
      <c r="J42" s="1143"/>
      <c r="K42" s="1143"/>
      <c r="L42" s="1144"/>
      <c r="M42" s="1145"/>
      <c r="N42" s="1145"/>
      <c r="O42" s="1145"/>
      <c r="P42" s="1257"/>
      <c r="Q42" s="233"/>
      <c r="R42" s="234"/>
      <c r="S42" s="1263" t="str">
        <f>INDEX(PT_DIFFERENTIATION_NUM_TER,MATCH(B42,PT_DIFFERENTIATION_TER_ID,0))</f>
        <v>.</v>
      </c>
      <c r="T42" s="185" t="s">
        <v>323</v>
      </c>
      <c r="U42" s="175"/>
      <c r="V42" s="2104"/>
      <c r="W42" s="2105"/>
      <c r="X42" s="2105"/>
      <c r="Y42" s="2105"/>
      <c r="Z42" s="2105"/>
      <c r="AA42" s="2105"/>
      <c r="AB42" s="2106"/>
      <c r="AC42" s="2104" t="str">
        <f>INDEX(PT_DIFFERENTIATION_TER,MATCH(B42,PT_DIFFERENTIATION_TER_ID,0))</f>
        <v/>
      </c>
      <c r="AD42" s="2105"/>
      <c r="AE42" s="2105"/>
      <c r="AF42" s="2105"/>
      <c r="AG42" s="2105"/>
      <c r="AH42" s="2105"/>
      <c r="AI42" s="2105"/>
      <c r="AJ42" s="2106"/>
      <c r="AK42" s="1044" t="s">
        <v>324</v>
      </c>
      <c r="AM42" s="368"/>
      <c r="AN42" s="368" t="str">
        <f t="shared" si="1"/>
        <v>Территория действия тарифа</v>
      </c>
      <c r="AO42" s="368"/>
      <c r="AP42" s="368"/>
    </row>
    <row r="43" spans="1:42" ht="23.25" customHeight="1">
      <c r="A43" s="1143" t="s">
        <v>175</v>
      </c>
      <c r="B43" s="1143" t="s">
        <v>176</v>
      </c>
      <c r="C43" s="1143" t="s">
        <v>177</v>
      </c>
      <c r="D43" s="1143"/>
      <c r="E43" s="2112"/>
      <c r="F43" s="2112"/>
      <c r="G43" s="2111">
        <v>1</v>
      </c>
      <c r="H43" s="1143"/>
      <c r="I43" s="1143"/>
      <c r="J43" s="1143"/>
      <c r="K43" s="1143"/>
      <c r="L43" s="1144"/>
      <c r="M43" s="1145"/>
      <c r="N43" s="1145"/>
      <c r="O43" s="1145"/>
      <c r="P43" s="235"/>
      <c r="Q43" s="233"/>
      <c r="R43" s="234"/>
      <c r="S43" s="1263" t="str">
        <f>INDEX(PT_DIFFERENTIATION_NUM_CS,MATCH(C43,PT_DIFFERENTIATION_CS_ID,0))</f>
        <v>..</v>
      </c>
      <c r="T43" s="186" t="s">
        <v>454</v>
      </c>
      <c r="U43" s="175"/>
      <c r="V43" s="2104"/>
      <c r="W43" s="2105"/>
      <c r="X43" s="2105"/>
      <c r="Y43" s="2105"/>
      <c r="Z43" s="2105"/>
      <c r="AA43" s="2105"/>
      <c r="AB43" s="2106"/>
      <c r="AC43" s="2104" t="str">
        <f>INDEX(PT_DIFFERENTIATION_CS,MATCH(C43,PT_DIFFERENTIATION_CS_ID,0))</f>
        <v/>
      </c>
      <c r="AD43" s="2105"/>
      <c r="AE43" s="2105"/>
      <c r="AF43" s="2105"/>
      <c r="AG43" s="2105"/>
      <c r="AH43" s="2105"/>
      <c r="AI43" s="2105"/>
      <c r="AJ43" s="2106"/>
      <c r="AK43" s="1044" t="s">
        <v>455</v>
      </c>
      <c r="AM43" s="368"/>
      <c r="AN43" s="368" t="str">
        <f t="shared" si="1"/>
        <v>Наименование централизованной системы горячего водоснабжения</v>
      </c>
      <c r="AO43" s="368"/>
      <c r="AP43" s="368"/>
    </row>
    <row r="44" spans="1:42" ht="23.25" customHeight="1">
      <c r="A44" s="1143" t="s">
        <v>175</v>
      </c>
      <c r="B44" s="1143" t="s">
        <v>176</v>
      </c>
      <c r="C44" s="1143" t="s">
        <v>177</v>
      </c>
      <c r="D44" s="1143" t="s">
        <v>461</v>
      </c>
      <c r="E44" s="2112"/>
      <c r="F44" s="2112"/>
      <c r="G44" s="2112"/>
      <c r="H44" s="2112"/>
      <c r="I44" s="2113" t="str">
        <f>S43&amp;".1"</f>
        <v>...1</v>
      </c>
      <c r="J44" s="1143"/>
      <c r="K44" s="1143"/>
      <c r="L44" s="1144"/>
      <c r="P44" s="2115">
        <v>1</v>
      </c>
      <c r="Q44" s="1251"/>
      <c r="R44" s="237"/>
      <c r="S44" s="1263" t="str">
        <f>$I44</f>
        <v>...1</v>
      </c>
      <c r="T44" s="161" t="s">
        <v>409</v>
      </c>
      <c r="U44" s="175"/>
      <c r="V44" s="2171"/>
      <c r="W44" s="2172"/>
      <c r="X44" s="2172"/>
      <c r="Y44" s="2172"/>
      <c r="Z44" s="2172"/>
      <c r="AA44" s="2172"/>
      <c r="AB44" s="2173"/>
      <c r="AC44" s="2174"/>
      <c r="AD44" s="2175"/>
      <c r="AE44" s="2175"/>
      <c r="AF44" s="2175"/>
      <c r="AG44" s="2175"/>
      <c r="AH44" s="2175"/>
      <c r="AI44" s="2175"/>
      <c r="AJ44" s="2176"/>
      <c r="AK44" s="1044" t="s">
        <v>410</v>
      </c>
      <c r="AM44" s="368"/>
      <c r="AN44" s="368" t="str">
        <f t="shared" si="1"/>
        <v>Наименование признака дифференциации</v>
      </c>
      <c r="AO44" s="368"/>
      <c r="AP44" s="368"/>
    </row>
    <row r="45" spans="1:42" ht="23.25" customHeight="1">
      <c r="A45" s="1143" t="s">
        <v>175</v>
      </c>
      <c r="B45" s="1143" t="s">
        <v>176</v>
      </c>
      <c r="C45" s="1143" t="s">
        <v>177</v>
      </c>
      <c r="D45" s="1143" t="s">
        <v>461</v>
      </c>
      <c r="E45" s="2112"/>
      <c r="F45" s="2112"/>
      <c r="G45" s="2112"/>
      <c r="H45" s="2112"/>
      <c r="I45" s="2114"/>
      <c r="J45" s="2113" t="str">
        <f>I44&amp;".1"</f>
        <v>...1.1</v>
      </c>
      <c r="K45" s="1143"/>
      <c r="L45" s="1144" t="s">
        <v>332</v>
      </c>
      <c r="P45" s="2115"/>
      <c r="Q45" s="2115">
        <v>1</v>
      </c>
      <c r="R45" s="238"/>
      <c r="S45" s="1263" t="str">
        <f>$J45</f>
        <v>...1.1</v>
      </c>
      <c r="T45" s="162" t="s">
        <v>333</v>
      </c>
      <c r="U45" s="175"/>
      <c r="V45" s="2098"/>
      <c r="W45" s="2099"/>
      <c r="X45" s="2099"/>
      <c r="Y45" s="2099"/>
      <c r="Z45" s="2099"/>
      <c r="AA45" s="2099"/>
      <c r="AB45" s="2100"/>
      <c r="AC45" s="2098"/>
      <c r="AD45" s="2099"/>
      <c r="AE45" s="2099"/>
      <c r="AF45" s="2099"/>
      <c r="AG45" s="2099"/>
      <c r="AH45" s="2099"/>
      <c r="AI45" s="2099"/>
      <c r="AJ45" s="2100"/>
      <c r="AK45" s="1090" t="s">
        <v>411</v>
      </c>
      <c r="AM45" s="368"/>
      <c r="AN45" s="368" t="str">
        <f t="shared" si="1"/>
        <v>Группа потребителей</v>
      </c>
      <c r="AO45" s="368"/>
      <c r="AP45" s="368"/>
    </row>
    <row r="46" spans="1:42" ht="23.25" customHeight="1">
      <c r="A46" s="1143" t="s">
        <v>175</v>
      </c>
      <c r="B46" s="1143" t="s">
        <v>176</v>
      </c>
      <c r="C46" s="1143" t="s">
        <v>177</v>
      </c>
      <c r="D46" s="1143" t="s">
        <v>461</v>
      </c>
      <c r="E46" s="2112"/>
      <c r="F46" s="2112"/>
      <c r="G46" s="2112"/>
      <c r="H46" s="2112"/>
      <c r="I46" s="2114"/>
      <c r="J46" s="2114"/>
      <c r="K46" s="2113" t="str">
        <f>J45&amp;".1"</f>
        <v>...1.1.1</v>
      </c>
      <c r="L46" s="1144"/>
      <c r="P46" s="2115"/>
      <c r="Q46" s="2115"/>
      <c r="R46" s="238">
        <v>1</v>
      </c>
      <c r="S46" s="1263" t="str">
        <f>$K46</f>
        <v>...1.1.1</v>
      </c>
      <c r="T46" s="1212"/>
      <c r="U46" s="175"/>
      <c r="V46" s="1140"/>
      <c r="W46" s="1140"/>
      <c r="X46" s="1141"/>
      <c r="Y46" s="2108"/>
      <c r="Z46" s="2107" t="s">
        <v>16</v>
      </c>
      <c r="AA46" s="2108"/>
      <c r="AB46" s="2107" t="s">
        <v>16</v>
      </c>
      <c r="AC46" s="576"/>
      <c r="AD46" s="576"/>
      <c r="AE46" s="1043"/>
      <c r="AF46" s="2116"/>
      <c r="AG46" s="2109" t="s">
        <v>16</v>
      </c>
      <c r="AH46" s="2118"/>
      <c r="AI46" s="2109" t="s">
        <v>15</v>
      </c>
      <c r="AJ46" s="1213"/>
      <c r="AK46" s="2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79" t="e">
        <f ca="1">STRCHECKDATE(V47:AJ47)</f>
        <v>#NAME?</v>
      </c>
      <c r="AM46" s="368"/>
      <c r="AN46" s="368" t="str">
        <f t="shared" si="1"/>
        <v/>
      </c>
      <c r="AO46" s="368"/>
      <c r="AP46" s="368"/>
    </row>
    <row r="47" spans="1:42" ht="0" hidden="1" customHeight="1">
      <c r="A47" s="1143" t="s">
        <v>175</v>
      </c>
      <c r="B47" s="1143" t="s">
        <v>176</v>
      </c>
      <c r="C47" s="1143" t="s">
        <v>177</v>
      </c>
      <c r="D47" s="1143" t="s">
        <v>461</v>
      </c>
      <c r="E47" s="2112"/>
      <c r="F47" s="2112"/>
      <c r="G47" s="2112"/>
      <c r="H47" s="2112"/>
      <c r="I47" s="2114"/>
      <c r="J47" s="2114"/>
      <c r="K47" s="2113"/>
      <c r="L47" s="1144"/>
      <c r="P47" s="2115"/>
      <c r="Q47" s="2115"/>
      <c r="R47" s="238"/>
      <c r="S47" s="1260"/>
      <c r="T47" s="175"/>
      <c r="U47" s="175"/>
      <c r="V47" s="1140"/>
      <c r="W47" s="1140"/>
      <c r="X47" s="211" t="str">
        <f>Y46&amp;"-"&amp;AA46</f>
        <v>-</v>
      </c>
      <c r="Y47" s="2107"/>
      <c r="Z47" s="2107"/>
      <c r="AA47" s="2107"/>
      <c r="AB47" s="2107"/>
      <c r="AC47" s="207"/>
      <c r="AD47" s="207"/>
      <c r="AE47" s="211" t="str">
        <f>AF46&amp;"-"&amp;AH46</f>
        <v>-</v>
      </c>
      <c r="AF47" s="2117"/>
      <c r="AG47" s="2109"/>
      <c r="AH47" s="2119"/>
      <c r="AI47" s="2109"/>
      <c r="AJ47" s="1214"/>
      <c r="AK47" s="2177"/>
      <c r="AM47" s="368"/>
      <c r="AN47" s="368" t="str">
        <f t="shared" si="1"/>
        <v/>
      </c>
      <c r="AO47" s="368"/>
      <c r="AP47" s="368"/>
    </row>
    <row r="48" spans="1:42" ht="21" customHeight="1">
      <c r="A48" s="1143" t="s">
        <v>175</v>
      </c>
      <c r="B48" s="1143" t="s">
        <v>176</v>
      </c>
      <c r="C48" s="1143" t="s">
        <v>177</v>
      </c>
      <c r="D48" s="1143" t="s">
        <v>461</v>
      </c>
      <c r="E48" s="2112"/>
      <c r="F48" s="2112"/>
      <c r="G48" s="2112"/>
      <c r="H48" s="2112"/>
      <c r="I48" s="2114"/>
      <c r="J48" s="2113"/>
      <c r="K48" s="1143"/>
      <c r="L48" s="1144"/>
      <c r="P48" s="2115"/>
      <c r="Q48" s="2115"/>
      <c r="R48" s="237"/>
      <c r="S48" s="1062"/>
      <c r="T48" s="163" t="s">
        <v>412</v>
      </c>
      <c r="U48" s="251"/>
      <c r="V48" s="251"/>
      <c r="W48" s="251"/>
      <c r="X48" s="251"/>
      <c r="Y48" s="251"/>
      <c r="Z48" s="251"/>
      <c r="AA48" s="251"/>
      <c r="AB48" s="251"/>
      <c r="AC48" s="251"/>
      <c r="AD48" s="251"/>
      <c r="AE48" s="251"/>
      <c r="AF48" s="251"/>
      <c r="AG48" s="251"/>
      <c r="AH48" s="251"/>
      <c r="AI48" s="251"/>
      <c r="AJ48" s="251"/>
      <c r="AK48" s="1044" t="s">
        <v>413</v>
      </c>
      <c r="AM48" s="368"/>
      <c r="AN48" s="368" t="str">
        <f t="shared" si="1"/>
        <v>Добавить значение признака дифференциации</v>
      </c>
      <c r="AO48" s="368"/>
      <c r="AP48" s="368"/>
    </row>
    <row r="49" spans="1:42" ht="21" customHeight="1">
      <c r="A49" s="1143" t="s">
        <v>175</v>
      </c>
      <c r="B49" s="1143" t="s">
        <v>176</v>
      </c>
      <c r="C49" s="1143" t="s">
        <v>177</v>
      </c>
      <c r="D49" s="1143" t="s">
        <v>461</v>
      </c>
      <c r="E49" s="2112"/>
      <c r="F49" s="2112"/>
      <c r="G49" s="2112"/>
      <c r="H49" s="2112"/>
      <c r="I49" s="2113"/>
      <c r="J49" s="1143"/>
      <c r="K49" s="1143"/>
      <c r="L49" s="1144"/>
      <c r="P49" s="2115"/>
      <c r="Q49" s="1251"/>
      <c r="R49" s="237"/>
      <c r="S49" s="1062"/>
      <c r="T49" s="248" t="s">
        <v>338</v>
      </c>
      <c r="U49" s="251"/>
      <c r="V49" s="251"/>
      <c r="W49" s="251"/>
      <c r="X49" s="251"/>
      <c r="Y49" s="251"/>
      <c r="Z49" s="251"/>
      <c r="AA49" s="251"/>
      <c r="AB49" s="250"/>
      <c r="AC49" s="251"/>
      <c r="AD49" s="251"/>
      <c r="AE49" s="251"/>
      <c r="AF49" s="251"/>
      <c r="AG49" s="251"/>
      <c r="AH49" s="251"/>
      <c r="AI49" s="250"/>
      <c r="AJ49" s="251"/>
      <c r="AK49" s="1215"/>
      <c r="AM49" s="368"/>
      <c r="AN49" s="368" t="str">
        <f t="shared" si="1"/>
        <v>Добавить группу потребителей</v>
      </c>
      <c r="AO49" s="368"/>
      <c r="AP49" s="368"/>
    </row>
    <row r="50" spans="1:42" ht="21" customHeight="1">
      <c r="A50" s="1143" t="s">
        <v>175</v>
      </c>
      <c r="B50" s="1143" t="s">
        <v>176</v>
      </c>
      <c r="C50" s="1143" t="s">
        <v>177</v>
      </c>
      <c r="D50" s="1143" t="s">
        <v>461</v>
      </c>
      <c r="E50" s="2112"/>
      <c r="F50" s="2112"/>
      <c r="G50" s="2112"/>
      <c r="H50" s="2111"/>
      <c r="I50" s="1143"/>
      <c r="J50" s="1143"/>
      <c r="K50" s="1143"/>
      <c r="L50" s="1144"/>
      <c r="M50" s="1145"/>
      <c r="N50" s="1145"/>
      <c r="O50" s="395"/>
      <c r="P50" s="241"/>
      <c r="Q50" s="260"/>
      <c r="R50" s="236"/>
      <c r="S50" s="1062"/>
      <c r="T50" s="256" t="s">
        <v>414</v>
      </c>
      <c r="U50" s="251"/>
      <c r="V50" s="251"/>
      <c r="W50" s="251"/>
      <c r="X50" s="251"/>
      <c r="Y50" s="251"/>
      <c r="Z50" s="251"/>
      <c r="AA50" s="251"/>
      <c r="AB50" s="250"/>
      <c r="AC50" s="251"/>
      <c r="AD50" s="251"/>
      <c r="AE50" s="251"/>
      <c r="AF50" s="251"/>
      <c r="AG50" s="251"/>
      <c r="AH50" s="251"/>
      <c r="AI50" s="250"/>
      <c r="AJ50" s="251"/>
      <c r="AK50" s="178"/>
      <c r="AM50" s="368"/>
      <c r="AN50" s="368" t="str">
        <f t="shared" si="1"/>
        <v>Добавить наименование признака дифференциации</v>
      </c>
      <c r="AO50" s="368"/>
      <c r="AP50" s="368"/>
    </row>
    <row r="51" spans="1:42" s="1686" customFormat="1" ht="0" hidden="1" customHeight="1">
      <c r="A51" s="1124" t="s">
        <v>175</v>
      </c>
      <c r="B51" s="1124" t="s">
        <v>176</v>
      </c>
      <c r="C51" s="1096"/>
      <c r="D51" s="1096"/>
      <c r="E51" s="2112"/>
      <c r="F51" s="2111"/>
      <c r="G51" s="1096"/>
      <c r="H51" s="1096"/>
      <c r="I51" s="1096"/>
      <c r="J51" s="1096"/>
      <c r="K51" s="1096"/>
      <c r="L51" s="1264"/>
      <c r="M51" s="1103"/>
      <c r="N51" s="1103"/>
      <c r="P51" s="1098"/>
      <c r="Q51" s="1099"/>
      <c r="R51" s="1098"/>
      <c r="S51" s="1104"/>
      <c r="T51" s="1107" t="s">
        <v>341</v>
      </c>
      <c r="U51" s="1106"/>
      <c r="V51" s="1106"/>
      <c r="W51" s="1106"/>
      <c r="X51" s="1106"/>
      <c r="Y51" s="1106"/>
      <c r="Z51" s="1106"/>
      <c r="AA51" s="1106"/>
      <c r="AB51" s="1106"/>
      <c r="AC51" s="1106"/>
      <c r="AD51" s="1106"/>
      <c r="AE51" s="1106"/>
      <c r="AF51" s="1106"/>
      <c r="AG51" s="1106"/>
      <c r="AH51" s="1106"/>
      <c r="AI51" s="1106"/>
      <c r="AJ51" s="1106"/>
      <c r="AK51" s="1106"/>
      <c r="AM51" s="598"/>
      <c r="AN51" s="598" t="str">
        <f t="shared" si="1"/>
        <v>Добавить централизованную систему для дифференциации</v>
      </c>
      <c r="AO51" s="598"/>
      <c r="AP51" s="598"/>
    </row>
    <row r="52" spans="1:42" s="1622" customFormat="1" ht="0" hidden="1" customHeight="1">
      <c r="A52" s="1124" t="s">
        <v>175</v>
      </c>
      <c r="B52" s="1124"/>
      <c r="C52" s="1124"/>
      <c r="D52" s="1124"/>
      <c r="E52" s="2111"/>
      <c r="F52" s="1124"/>
      <c r="G52" s="1124"/>
      <c r="H52" s="1124"/>
      <c r="I52" s="1124"/>
      <c r="J52" s="1124"/>
      <c r="K52" s="1124"/>
      <c r="L52" s="1127"/>
      <c r="M52" s="1103"/>
      <c r="N52" s="1103"/>
      <c r="O52" s="386"/>
      <c r="P52" s="269"/>
      <c r="Q52" s="1125"/>
      <c r="R52" s="269"/>
      <c r="S52" s="1104"/>
      <c r="T52" s="1107" t="s">
        <v>342</v>
      </c>
      <c r="U52" s="1106"/>
      <c r="V52" s="1106"/>
      <c r="W52" s="1106"/>
      <c r="X52" s="1106"/>
      <c r="Y52" s="1106"/>
      <c r="Z52" s="1106"/>
      <c r="AA52" s="1106"/>
      <c r="AB52" s="1106"/>
      <c r="AC52" s="1106"/>
      <c r="AD52" s="1106"/>
      <c r="AE52" s="1106"/>
      <c r="AF52" s="1106"/>
      <c r="AG52" s="1106"/>
      <c r="AH52" s="1106"/>
      <c r="AI52" s="1106"/>
      <c r="AJ52" s="1106"/>
      <c r="AK52" s="1106"/>
      <c r="AM52" s="368"/>
      <c r="AN52" s="368" t="str">
        <f t="shared" si="1"/>
        <v>Добавить территорию для дифференциации</v>
      </c>
      <c r="AO52" s="368"/>
      <c r="AP52" s="368"/>
    </row>
    <row r="53" spans="1:42" s="1686" customFormat="1" ht="0" hidden="1" customHeight="1">
      <c r="A53" s="1096"/>
      <c r="B53" s="1096"/>
      <c r="C53" s="1096"/>
      <c r="D53" s="1096"/>
      <c r="E53" s="1124"/>
      <c r="F53" s="1096"/>
      <c r="G53" s="1096"/>
      <c r="H53" s="1096"/>
      <c r="I53" s="1096"/>
      <c r="J53" s="1096"/>
      <c r="K53" s="1096"/>
      <c r="L53" s="1264"/>
      <c r="M53" s="1103"/>
      <c r="N53" s="1103"/>
      <c r="P53" s="1098"/>
      <c r="Q53" s="1099"/>
      <c r="R53" s="1098"/>
      <c r="S53" s="1104"/>
      <c r="T53" s="1107" t="s">
        <v>374</v>
      </c>
      <c r="U53" s="1106"/>
      <c r="V53" s="1106"/>
      <c r="W53" s="1106"/>
      <c r="X53" s="1106"/>
      <c r="Y53" s="1106"/>
      <c r="Z53" s="1106"/>
      <c r="AA53" s="1106"/>
      <c r="AB53" s="1106"/>
      <c r="AC53" s="1106"/>
      <c r="AD53" s="1106"/>
      <c r="AE53" s="1106"/>
      <c r="AF53" s="1106"/>
      <c r="AG53" s="1106"/>
      <c r="AH53" s="1106"/>
      <c r="AI53" s="1106"/>
      <c r="AJ53" s="1106"/>
      <c r="AK53" s="1106"/>
      <c r="AM53" s="598"/>
      <c r="AN53" s="598" t="str">
        <f t="shared" si="1"/>
        <v>Добавить наименование тарифа</v>
      </c>
      <c r="AO53" s="598"/>
      <c r="AP53" s="598"/>
    </row>
    <row r="54" spans="1:42" ht="11.25" customHeight="1">
      <c r="M54" s="929"/>
      <c r="N54" s="929"/>
      <c r="O54" s="395"/>
      <c r="P54" s="924"/>
      <c r="Q54" s="924"/>
      <c r="R54" s="924"/>
      <c r="S54" s="924"/>
      <c r="AL54" s="924"/>
      <c r="AM54" s="924"/>
      <c r="AN54" s="924"/>
      <c r="AO54" s="924"/>
      <c r="AP54" s="924"/>
    </row>
    <row r="55" spans="1:42" ht="14.25" customHeight="1">
      <c r="O55" s="395"/>
      <c r="S55" s="1031"/>
      <c r="T55" s="2110"/>
      <c r="U55" s="2110"/>
      <c r="V55" s="2110"/>
      <c r="W55" s="2110"/>
      <c r="X55" s="2110"/>
      <c r="Y55" s="2110"/>
      <c r="Z55" s="2110"/>
      <c r="AA55" s="2110"/>
      <c r="AB55" s="2110"/>
      <c r="AC55" s="2110"/>
      <c r="AD55" s="2110"/>
      <c r="AE55" s="2110"/>
      <c r="AF55" s="2110"/>
      <c r="AG55" s="2110"/>
      <c r="AH55" s="2110"/>
      <c r="AI55" s="2110"/>
      <c r="AJ55" s="2110"/>
      <c r="AK55" s="2110"/>
    </row>
    <row r="56" spans="1:42" ht="14.25" customHeight="1">
      <c r="O56" s="395"/>
    </row>
    <row r="57" spans="1:42" ht="14.25" customHeight="1">
      <c r="O57" s="395"/>
      <c r="S57" s="1031"/>
      <c r="T57" s="2110"/>
      <c r="U57" s="2110"/>
      <c r="V57" s="2110"/>
      <c r="W57" s="2110"/>
      <c r="X57" s="2110"/>
      <c r="Y57" s="2110"/>
      <c r="Z57" s="2110"/>
      <c r="AA57" s="2110"/>
      <c r="AB57" s="2110"/>
      <c r="AC57" s="2110"/>
      <c r="AD57" s="2110"/>
      <c r="AE57" s="2110"/>
      <c r="AF57" s="2110"/>
      <c r="AG57" s="2110"/>
      <c r="AH57" s="2110"/>
      <c r="AI57" s="2110"/>
      <c r="AJ57" s="2110"/>
      <c r="AK57" s="211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687" hidden="1" customWidth="1"/>
    <col min="2" max="2" width="11" style="1687" hidden="1" customWidth="1"/>
    <col min="3" max="3" width="10.5703125" style="1687" hidden="1"/>
    <col min="4" max="4" width="12.85546875" style="1687" hidden="1" customWidth="1"/>
    <col min="5" max="5" width="10" style="1687" hidden="1" customWidth="1"/>
    <col min="6" max="6" width="8.7109375" style="1687" hidden="1" customWidth="1"/>
    <col min="7" max="7" width="7.5703125" style="1687" hidden="1" customWidth="1"/>
    <col min="8" max="8" width="11.42578125" style="1687" hidden="1" customWidth="1"/>
    <col min="9" max="9" width="12" style="1687" hidden="1" customWidth="1"/>
    <col min="10" max="10" width="9.85546875" style="1687" hidden="1" customWidth="1"/>
    <col min="11" max="11" width="11.42578125" style="1687" hidden="1" customWidth="1"/>
    <col min="12" max="12" width="19.140625" style="1706" hidden="1" customWidth="1"/>
    <col min="13" max="14" width="12.28515625" style="1689" hidden="1" customWidth="1"/>
    <col min="15" max="15" width="23.42578125" style="1689" hidden="1" customWidth="1"/>
    <col min="16" max="16" width="3.7109375" style="1689" hidden="1" customWidth="1"/>
    <col min="17" max="17" width="3.7109375" style="1690" hidden="1" customWidth="1"/>
    <col min="18" max="18" width="3.7109375" style="1695" customWidth="1"/>
    <col min="19" max="19" width="12.7109375" style="1696" customWidth="1"/>
    <col min="20" max="20" width="32" style="1661" customWidth="1"/>
    <col min="21" max="21" width="0.140625" style="1661" customWidth="1"/>
    <col min="22" max="25" width="21.7109375" style="1661" hidden="1" customWidth="1"/>
    <col min="26" max="26" width="11.7109375" style="1661" hidden="1" customWidth="1"/>
    <col min="27" max="27" width="3.7109375" style="1661" hidden="1" customWidth="1"/>
    <col min="28" max="28" width="11.7109375" style="1661" hidden="1" customWidth="1"/>
    <col min="29" max="29" width="8.5703125" style="1661" hidden="1" customWidth="1"/>
    <col min="30" max="32" width="3.7109375" style="1661" customWidth="1"/>
    <col min="33" max="33" width="24.7109375" style="1661" customWidth="1"/>
    <col min="34" max="36" width="3.7109375" style="1661" customWidth="1"/>
    <col min="37" max="37" width="24.7109375" style="1661" customWidth="1"/>
    <col min="38" max="40" width="3.7109375" style="1661" customWidth="1"/>
    <col min="41" max="41" width="18.85546875" style="1661" customWidth="1"/>
    <col min="42" max="44" width="3.7109375" style="1661" customWidth="1"/>
    <col min="45" max="45" width="18.85546875" style="1661" customWidth="1"/>
    <col min="46" max="49" width="21.7109375" style="1661" customWidth="1"/>
    <col min="50" max="50" width="11.7109375" style="1661" customWidth="1"/>
    <col min="51" max="51" width="3.7109375" style="1661" customWidth="1"/>
    <col min="52" max="52" width="11.7109375" style="1661" customWidth="1"/>
    <col min="53" max="53" width="8.5703125" style="1661" hidden="1" customWidth="1"/>
    <col min="54" max="54" width="4.7109375" style="1661" customWidth="1"/>
    <col min="55" max="55" width="115.7109375" style="1661" customWidth="1"/>
    <col min="56" max="57" width="10.5703125" style="1622"/>
    <col min="58" max="58" width="11.140625" style="1622" customWidth="1"/>
    <col min="59" max="60" width="10.5703125" style="1622"/>
  </cols>
  <sheetData>
    <row r="1" spans="1:60" ht="14.25" hidden="1" customHeight="1">
      <c r="W1" s="210"/>
      <c r="Y1" s="210"/>
      <c r="Z1" s="210"/>
      <c r="AW1" s="210"/>
      <c r="AX1" s="210"/>
    </row>
    <row r="2" spans="1:60" ht="21" hidden="1" customHeight="1">
      <c r="A2" s="1143"/>
      <c r="B2" s="1143"/>
      <c r="C2" s="1143"/>
      <c r="D2" s="1143"/>
      <c r="E2" s="2111">
        <v>1</v>
      </c>
      <c r="F2" s="1143"/>
      <c r="G2" s="1143"/>
      <c r="H2" s="1143"/>
      <c r="I2" s="1143"/>
      <c r="J2" s="1143"/>
      <c r="K2" s="1143"/>
      <c r="L2" s="1144"/>
      <c r="M2" s="1145"/>
      <c r="N2" s="1145"/>
      <c r="O2" s="1145"/>
      <c r="P2" s="1189"/>
      <c r="Q2" s="669"/>
      <c r="R2" s="236"/>
      <c r="S2" s="1263" t="e">
        <f>INDEX(PT_DIFFERENTIATION_NUM_NTAR,MATCH(A2,PT_DIFFERENTIATION_NTAR_ID,0))</f>
        <v>#N/A</v>
      </c>
      <c r="T2" s="173" t="s">
        <v>61</v>
      </c>
      <c r="U2" s="175"/>
      <c r="V2" s="2105"/>
      <c r="W2" s="2105"/>
      <c r="X2" s="2105"/>
      <c r="Y2" s="2105"/>
      <c r="Z2" s="2105"/>
      <c r="AA2" s="2105"/>
      <c r="AB2" s="2105"/>
      <c r="AC2" s="2106"/>
      <c r="AD2" s="2104" t="e">
        <f>INDEX(PT_DIFFERENTIATION_NTAR,MATCH(A2,PT_DIFFERENTIATION_NTAR_ID,0))</f>
        <v>#N/A</v>
      </c>
      <c r="AE2" s="2105"/>
      <c r="AF2" s="2105"/>
      <c r="AG2" s="2105"/>
      <c r="AH2" s="2105"/>
      <c r="AI2" s="2105"/>
      <c r="AJ2" s="2105"/>
      <c r="AK2" s="2105"/>
      <c r="AL2" s="2105"/>
      <c r="AM2" s="2105"/>
      <c r="AN2" s="2105"/>
      <c r="AO2" s="2105"/>
      <c r="AP2" s="2105"/>
      <c r="AQ2" s="2105"/>
      <c r="AR2" s="2105"/>
      <c r="AS2" s="2105"/>
      <c r="AT2" s="2105"/>
      <c r="AU2" s="2105"/>
      <c r="AV2" s="2105"/>
      <c r="AW2" s="2105"/>
      <c r="AX2" s="2105"/>
      <c r="AY2" s="2105"/>
      <c r="AZ2" s="2105"/>
      <c r="BA2" s="2105"/>
      <c r="BB2" s="2106"/>
      <c r="BC2"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68"/>
      <c r="BF2" s="368" t="str">
        <f t="shared" ref="BF2:BF8" si="0">IF(T2="","",T2)</f>
        <v>Наименование тарифа</v>
      </c>
      <c r="BG2" s="368"/>
      <c r="BH2" s="368"/>
    </row>
    <row r="3" spans="1:60" ht="21" hidden="1" customHeight="1">
      <c r="A3" s="1143"/>
      <c r="B3" s="1143"/>
      <c r="C3" s="1143"/>
      <c r="D3" s="1143"/>
      <c r="E3" s="2112"/>
      <c r="F3" s="2111">
        <v>1</v>
      </c>
      <c r="G3" s="1143"/>
      <c r="H3" s="1143"/>
      <c r="I3" s="1143"/>
      <c r="J3" s="1143"/>
      <c r="K3" s="1143"/>
      <c r="L3" s="1144"/>
      <c r="M3" s="1145"/>
      <c r="N3" s="1145"/>
      <c r="O3" s="1145"/>
      <c r="P3" s="1190"/>
      <c r="Q3" s="1191"/>
      <c r="R3" s="234"/>
      <c r="S3" s="1263" t="e">
        <f>INDEX(PT_DIFFERENTIATION_NUM_TER,MATCH(B3,PT_DIFFERENTIATION_TER_ID,0))</f>
        <v>#N/A</v>
      </c>
      <c r="T3" s="185" t="s">
        <v>323</v>
      </c>
      <c r="U3" s="175"/>
      <c r="V3" s="2105"/>
      <c r="W3" s="2105"/>
      <c r="X3" s="2105"/>
      <c r="Y3" s="2105"/>
      <c r="Z3" s="2105"/>
      <c r="AA3" s="2105"/>
      <c r="AB3" s="2105"/>
      <c r="AC3" s="2106"/>
      <c r="AD3" s="2104" t="e">
        <f>INDEX(PT_DIFFERENTIATION_TER,MATCH(B3,PT_DIFFERENTIATION_TER_ID,0))</f>
        <v>#N/A</v>
      </c>
      <c r="AE3" s="2105"/>
      <c r="AF3" s="2105"/>
      <c r="AG3" s="2105"/>
      <c r="AH3" s="2105"/>
      <c r="AI3" s="2105"/>
      <c r="AJ3" s="2105"/>
      <c r="AK3" s="2105"/>
      <c r="AL3" s="2105"/>
      <c r="AM3" s="2105"/>
      <c r="AN3" s="2105"/>
      <c r="AO3" s="2105"/>
      <c r="AP3" s="2105"/>
      <c r="AQ3" s="2105"/>
      <c r="AR3" s="2105"/>
      <c r="AS3" s="2105"/>
      <c r="AT3" s="2105"/>
      <c r="AU3" s="2105"/>
      <c r="AV3" s="2105"/>
      <c r="AW3" s="2105"/>
      <c r="AX3" s="2105"/>
      <c r="AY3" s="2105"/>
      <c r="AZ3" s="2105"/>
      <c r="BA3" s="2105"/>
      <c r="BB3" s="2106"/>
      <c r="BC3" s="1044" t="s">
        <v>324</v>
      </c>
      <c r="BE3" s="368"/>
      <c r="BF3" s="368" t="str">
        <f t="shared" si="0"/>
        <v>Территория действия тарифа</v>
      </c>
      <c r="BG3" s="368"/>
      <c r="BH3" s="368"/>
    </row>
    <row r="4" spans="1:60" ht="33.75" hidden="1" customHeight="1">
      <c r="A4" s="1143"/>
      <c r="B4" s="1143"/>
      <c r="C4" s="1143"/>
      <c r="D4" s="1143"/>
      <c r="E4" s="2112"/>
      <c r="F4" s="2112"/>
      <c r="G4" s="2111">
        <v>1</v>
      </c>
      <c r="H4" s="1143"/>
      <c r="I4" s="1143"/>
      <c r="J4" s="1143"/>
      <c r="K4" s="1143"/>
      <c r="L4" s="1144"/>
      <c r="M4" s="1145"/>
      <c r="N4" s="1145"/>
      <c r="O4" s="1145"/>
      <c r="P4" s="1192"/>
      <c r="Q4" s="1191"/>
      <c r="R4" s="234"/>
      <c r="S4" s="1263" t="e">
        <f>INDEX(PT_DIFFERENTIATION_NUM_CS,MATCH(C4,PT_DIFFERENTIATION_CS_ID,0))</f>
        <v>#N/A</v>
      </c>
      <c r="T4" s="186" t="s">
        <v>454</v>
      </c>
      <c r="U4" s="175"/>
      <c r="V4" s="2105"/>
      <c r="W4" s="2105"/>
      <c r="X4" s="2105"/>
      <c r="Y4" s="2105"/>
      <c r="Z4" s="2105"/>
      <c r="AA4" s="2105"/>
      <c r="AB4" s="2105"/>
      <c r="AC4" s="2106"/>
      <c r="AD4" s="2104" t="e">
        <f>INDEX(PT_DIFFERENTIATION_CS,MATCH(C4,PT_DIFFERENTIATION_CS_ID,0))</f>
        <v>#N/A</v>
      </c>
      <c r="AE4" s="2105"/>
      <c r="AF4" s="2105"/>
      <c r="AG4" s="2105"/>
      <c r="AH4" s="2105"/>
      <c r="AI4" s="2105"/>
      <c r="AJ4" s="2105"/>
      <c r="AK4" s="2105"/>
      <c r="AL4" s="2105"/>
      <c r="AM4" s="2105"/>
      <c r="AN4" s="2105"/>
      <c r="AO4" s="2105"/>
      <c r="AP4" s="2105"/>
      <c r="AQ4" s="2105"/>
      <c r="AR4" s="2105"/>
      <c r="AS4" s="2105"/>
      <c r="AT4" s="2105"/>
      <c r="AU4" s="2105"/>
      <c r="AV4" s="2105"/>
      <c r="AW4" s="2105"/>
      <c r="AX4" s="2105"/>
      <c r="AY4" s="2105"/>
      <c r="AZ4" s="2105"/>
      <c r="BA4" s="2105"/>
      <c r="BB4" s="2106"/>
      <c r="BC4" s="1044" t="s">
        <v>455</v>
      </c>
      <c r="BE4" s="368"/>
      <c r="BF4" s="368" t="str">
        <f t="shared" si="0"/>
        <v>Наименование централизованной системы горячего водоснабжения</v>
      </c>
      <c r="BG4" s="368"/>
      <c r="BH4" s="368"/>
    </row>
    <row r="5" spans="1:60" s="1622" customFormat="1" ht="14.25" hidden="1" customHeight="1">
      <c r="A5" s="1124"/>
      <c r="B5" s="1124"/>
      <c r="C5" s="1124"/>
      <c r="D5" s="1124"/>
      <c r="E5" s="2112"/>
      <c r="F5" s="2112"/>
      <c r="G5" s="2112"/>
      <c r="H5" s="2111">
        <v>1</v>
      </c>
      <c r="I5" s="1124"/>
      <c r="J5" s="1124"/>
      <c r="K5" s="1124"/>
      <c r="L5" s="1127"/>
      <c r="M5" s="1097"/>
      <c r="N5" s="1097"/>
      <c r="O5" s="1097"/>
      <c r="P5" s="1267"/>
      <c r="Q5" s="1268"/>
      <c r="R5" s="238"/>
      <c r="S5" s="825"/>
      <c r="T5" s="1269"/>
      <c r="U5" s="1164"/>
      <c r="V5" s="2141"/>
      <c r="W5" s="2141"/>
      <c r="X5" s="2141"/>
      <c r="Y5" s="2141"/>
      <c r="Z5" s="2141"/>
      <c r="AA5" s="2141"/>
      <c r="AB5" s="2141"/>
      <c r="AC5" s="2142"/>
      <c r="AD5" s="2140"/>
      <c r="AE5" s="2141"/>
      <c r="AF5" s="2141"/>
      <c r="AG5" s="2141"/>
      <c r="AH5" s="2141"/>
      <c r="AI5" s="2141"/>
      <c r="AJ5" s="2141"/>
      <c r="AK5" s="2141"/>
      <c r="AL5" s="2141"/>
      <c r="AM5" s="2141"/>
      <c r="AN5" s="2141"/>
      <c r="AO5" s="2141"/>
      <c r="AP5" s="2141"/>
      <c r="AQ5" s="2141"/>
      <c r="AR5" s="2141"/>
      <c r="AS5" s="2141"/>
      <c r="AT5" s="2141"/>
      <c r="AU5" s="2141"/>
      <c r="AV5" s="2141"/>
      <c r="AW5" s="2141"/>
      <c r="AX5" s="2141"/>
      <c r="AY5" s="2141"/>
      <c r="AZ5" s="2141"/>
      <c r="BA5" s="2141"/>
      <c r="BB5" s="2142"/>
      <c r="BC5" s="1165" t="s">
        <v>328</v>
      </c>
      <c r="BE5" s="368"/>
      <c r="BF5" s="368" t="str">
        <f t="shared" si="0"/>
        <v/>
      </c>
      <c r="BG5" s="368"/>
      <c r="BH5" s="368"/>
    </row>
    <row r="6" spans="1:60" s="1622" customFormat="1" ht="14.25" hidden="1" customHeight="1">
      <c r="A6" s="1124"/>
      <c r="B6" s="1124"/>
      <c r="C6" s="1124"/>
      <c r="D6" s="1124"/>
      <c r="E6" s="2112"/>
      <c r="F6" s="2112"/>
      <c r="G6" s="2112"/>
      <c r="H6" s="2112"/>
      <c r="I6" s="2113" t="str">
        <f>S5&amp;".1"</f>
        <v>.1</v>
      </c>
      <c r="J6" s="1124"/>
      <c r="K6" s="1124"/>
      <c r="L6" s="1127" t="s">
        <v>329</v>
      </c>
      <c r="M6" s="378"/>
      <c r="N6" s="378"/>
      <c r="O6" s="378"/>
      <c r="P6" s="2115">
        <v>1</v>
      </c>
      <c r="Q6" s="1251"/>
      <c r="R6" s="237"/>
      <c r="S6" s="825"/>
      <c r="T6" s="1163"/>
      <c r="U6" s="1164"/>
      <c r="V6" s="2141"/>
      <c r="W6" s="2141"/>
      <c r="X6" s="2141"/>
      <c r="Y6" s="2141"/>
      <c r="Z6" s="2141"/>
      <c r="AA6" s="2141"/>
      <c r="AB6" s="2141"/>
      <c r="AC6" s="2142"/>
      <c r="AD6" s="2140"/>
      <c r="AE6" s="2141"/>
      <c r="AF6" s="2141"/>
      <c r="AG6" s="2141"/>
      <c r="AH6" s="2141"/>
      <c r="AI6" s="2141"/>
      <c r="AJ6" s="2141"/>
      <c r="AK6" s="2141"/>
      <c r="AL6" s="2141"/>
      <c r="AM6" s="2141"/>
      <c r="AN6" s="2141"/>
      <c r="AO6" s="2141"/>
      <c r="AP6" s="2141"/>
      <c r="AQ6" s="2141"/>
      <c r="AR6" s="2141"/>
      <c r="AS6" s="2141"/>
      <c r="AT6" s="2141"/>
      <c r="AU6" s="2141"/>
      <c r="AV6" s="2141"/>
      <c r="AW6" s="2141"/>
      <c r="AX6" s="2141"/>
      <c r="AY6" s="2141"/>
      <c r="AZ6" s="2141"/>
      <c r="BA6" s="2141"/>
      <c r="BB6" s="2142"/>
      <c r="BC6" s="1165"/>
      <c r="BE6" s="368"/>
      <c r="BF6" s="368" t="str">
        <f t="shared" si="0"/>
        <v/>
      </c>
      <c r="BG6" s="368"/>
      <c r="BH6" s="368"/>
    </row>
    <row r="7" spans="1:60" s="1622" customFormat="1" ht="14.25" hidden="1" customHeight="1">
      <c r="A7" s="1124"/>
      <c r="B7" s="1124"/>
      <c r="C7" s="1124"/>
      <c r="D7" s="1124"/>
      <c r="E7" s="2112"/>
      <c r="F7" s="2112"/>
      <c r="G7" s="2112"/>
      <c r="H7" s="2112"/>
      <c r="I7" s="2114"/>
      <c r="J7" s="2113" t="str">
        <f>S5&amp;".1"</f>
        <v>.1</v>
      </c>
      <c r="K7" s="1124"/>
      <c r="L7" s="1127"/>
      <c r="M7" s="378"/>
      <c r="N7" s="378"/>
      <c r="O7" s="378"/>
      <c r="P7" s="2115"/>
      <c r="Q7" s="2115">
        <v>1</v>
      </c>
      <c r="R7" s="238"/>
      <c r="S7" s="825"/>
      <c r="T7" s="1179"/>
      <c r="U7" s="1164"/>
      <c r="V7" s="2141"/>
      <c r="W7" s="2141"/>
      <c r="X7" s="2141"/>
      <c r="Y7" s="2141"/>
      <c r="Z7" s="2141"/>
      <c r="AA7" s="2141"/>
      <c r="AB7" s="2141"/>
      <c r="AC7" s="2142"/>
      <c r="AD7" s="2140"/>
      <c r="AE7" s="2141"/>
      <c r="AF7" s="2141"/>
      <c r="AG7" s="2141"/>
      <c r="AH7" s="2141"/>
      <c r="AI7" s="2141"/>
      <c r="AJ7" s="2141"/>
      <c r="AK7" s="2141"/>
      <c r="AL7" s="2141"/>
      <c r="AM7" s="2141"/>
      <c r="AN7" s="2141"/>
      <c r="AO7" s="2141"/>
      <c r="AP7" s="2141"/>
      <c r="AQ7" s="2141"/>
      <c r="AR7" s="2141"/>
      <c r="AS7" s="2141"/>
      <c r="AT7" s="2141"/>
      <c r="AU7" s="2141"/>
      <c r="AV7" s="2141"/>
      <c r="AW7" s="2141"/>
      <c r="AX7" s="2141"/>
      <c r="AY7" s="2141"/>
      <c r="AZ7" s="2141"/>
      <c r="BA7" s="2141"/>
      <c r="BB7" s="2142"/>
      <c r="BC7" s="1165"/>
      <c r="BE7" s="368"/>
      <c r="BF7" s="368" t="str">
        <f t="shared" si="0"/>
        <v/>
      </c>
      <c r="BG7" s="368"/>
      <c r="BH7" s="368"/>
    </row>
    <row r="8" spans="1:60" ht="11.25" hidden="1" customHeight="1">
      <c r="A8" s="1143"/>
      <c r="B8" s="1143"/>
      <c r="C8" s="1143"/>
      <c r="D8" s="1143"/>
      <c r="E8" s="2112"/>
      <c r="F8" s="2112"/>
      <c r="G8" s="2112"/>
      <c r="H8" s="2112"/>
      <c r="I8" s="2114"/>
      <c r="J8" s="2114"/>
      <c r="K8" s="2113" t="e">
        <f>S4&amp;".1"</f>
        <v>#N/A</v>
      </c>
      <c r="L8" s="1144"/>
      <c r="P8" s="2115"/>
      <c r="Q8" s="2115"/>
      <c r="R8" s="2164">
        <v>1</v>
      </c>
      <c r="S8" s="2161" t="e">
        <f>$K8</f>
        <v>#N/A</v>
      </c>
      <c r="T8" s="2180"/>
      <c r="U8" s="175"/>
      <c r="V8" s="576"/>
      <c r="W8" s="1043"/>
      <c r="X8" s="576"/>
      <c r="Y8" s="1043"/>
      <c r="Z8" s="1474"/>
      <c r="AA8" s="1240" t="s">
        <v>16</v>
      </c>
      <c r="AB8" s="1474"/>
      <c r="AC8" s="1240" t="s">
        <v>16</v>
      </c>
      <c r="AD8" s="2049" t="s">
        <v>16</v>
      </c>
      <c r="AE8" s="2157"/>
      <c r="AF8" s="2063">
        <v>1</v>
      </c>
      <c r="AG8" s="2179"/>
      <c r="AH8" s="2109" t="s">
        <v>16</v>
      </c>
      <c r="AI8" s="2157"/>
      <c r="AJ8" s="2063">
        <v>1</v>
      </c>
      <c r="AK8" s="2178" t="s">
        <v>1</v>
      </c>
      <c r="AL8" s="2109" t="s">
        <v>16</v>
      </c>
      <c r="AM8" s="2037"/>
      <c r="AN8" s="2063">
        <v>1</v>
      </c>
      <c r="AO8" s="2183"/>
      <c r="AP8" s="2184" t="s">
        <v>16</v>
      </c>
      <c r="AQ8" s="188"/>
      <c r="AR8" s="1256">
        <v>1</v>
      </c>
      <c r="AS8" s="1262" t="s">
        <v>1</v>
      </c>
      <c r="AT8" s="576"/>
      <c r="AU8" s="1043"/>
      <c r="AV8" s="576"/>
      <c r="AW8" s="1043"/>
      <c r="AX8" s="1474"/>
      <c r="AY8" s="1240" t="s">
        <v>16</v>
      </c>
      <c r="AZ8" s="1474"/>
      <c r="BA8" s="1240" t="s">
        <v>16</v>
      </c>
      <c r="BB8" s="1129"/>
      <c r="BC8" s="2134" t="s">
        <v>425</v>
      </c>
      <c r="BE8" s="368"/>
      <c r="BF8" s="368" t="str">
        <f t="shared" si="0"/>
        <v/>
      </c>
      <c r="BG8" s="368"/>
      <c r="BH8" s="368"/>
    </row>
    <row r="9" spans="1:60" ht="11.25" hidden="1" customHeight="1">
      <c r="A9" s="1143"/>
      <c r="B9" s="1143"/>
      <c r="C9" s="1143"/>
      <c r="D9" s="1143"/>
      <c r="E9" s="2112"/>
      <c r="F9" s="2112"/>
      <c r="G9" s="2112"/>
      <c r="H9" s="2112"/>
      <c r="I9" s="2114"/>
      <c r="J9" s="2114"/>
      <c r="K9" s="2113"/>
      <c r="L9" s="1144"/>
      <c r="P9" s="2115"/>
      <c r="Q9" s="2115"/>
      <c r="R9" s="2164"/>
      <c r="S9" s="2162"/>
      <c r="T9" s="2181"/>
      <c r="U9" s="175"/>
      <c r="V9" s="1173"/>
      <c r="W9" s="1266"/>
      <c r="X9" s="1173"/>
      <c r="Y9" s="1266"/>
      <c r="Z9" s="1173"/>
      <c r="AA9" s="1173"/>
      <c r="AB9" s="1173"/>
      <c r="AC9" s="1173"/>
      <c r="AD9" s="2050"/>
      <c r="AE9" s="2157"/>
      <c r="AF9" s="2063"/>
      <c r="AG9" s="2179"/>
      <c r="AH9" s="2109"/>
      <c r="AI9" s="2157"/>
      <c r="AJ9" s="2063"/>
      <c r="AK9" s="2178"/>
      <c r="AL9" s="2109"/>
      <c r="AM9" s="2042"/>
      <c r="AN9" s="2063"/>
      <c r="AO9" s="2183"/>
      <c r="AP9" s="2185"/>
      <c r="AQ9" s="195"/>
      <c r="AR9" s="296"/>
      <c r="AS9" s="296" t="s">
        <v>426</v>
      </c>
      <c r="AT9" s="1173"/>
      <c r="AU9" s="1266"/>
      <c r="AV9" s="1173"/>
      <c r="AW9" s="1266"/>
      <c r="AX9" s="1173"/>
      <c r="AY9" s="1173"/>
      <c r="AZ9" s="1173"/>
      <c r="BA9" s="1173"/>
      <c r="BB9" s="1177"/>
      <c r="BC9" s="2135"/>
      <c r="BE9" s="368"/>
      <c r="BF9" s="368"/>
      <c r="BG9" s="368"/>
      <c r="BH9" s="368"/>
    </row>
    <row r="10" spans="1:60" ht="11.25" hidden="1" customHeight="1">
      <c r="A10" s="1143"/>
      <c r="B10" s="1143"/>
      <c r="C10" s="1143"/>
      <c r="D10" s="1143"/>
      <c r="E10" s="2112"/>
      <c r="F10" s="2112"/>
      <c r="G10" s="2112"/>
      <c r="H10" s="2112"/>
      <c r="I10" s="2114"/>
      <c r="J10" s="2114"/>
      <c r="K10" s="2113"/>
      <c r="L10" s="1144"/>
      <c r="P10" s="2115"/>
      <c r="Q10" s="2115"/>
      <c r="R10" s="2164"/>
      <c r="S10" s="2162"/>
      <c r="T10" s="2181"/>
      <c r="U10" s="175"/>
      <c r="V10" s="1173"/>
      <c r="W10" s="1266"/>
      <c r="X10" s="1173"/>
      <c r="Y10" s="1266"/>
      <c r="Z10" s="1173"/>
      <c r="AA10" s="1173"/>
      <c r="AB10" s="1173"/>
      <c r="AC10" s="1173"/>
      <c r="AD10" s="2050"/>
      <c r="AE10" s="2157"/>
      <c r="AF10" s="2063"/>
      <c r="AG10" s="2179"/>
      <c r="AH10" s="2109"/>
      <c r="AI10" s="2157"/>
      <c r="AJ10" s="2063"/>
      <c r="AK10" s="2178"/>
      <c r="AL10" s="2109"/>
      <c r="AM10" s="195"/>
      <c r="AN10" s="1270"/>
      <c r="AO10" s="1270" t="s">
        <v>427</v>
      </c>
      <c r="AP10" s="296"/>
      <c r="AQ10" s="296"/>
      <c r="AR10" s="296"/>
      <c r="AS10" s="1173"/>
      <c r="AT10" s="1173"/>
      <c r="AU10" s="1266"/>
      <c r="AV10" s="1173"/>
      <c r="AW10" s="1266"/>
      <c r="AX10" s="1173"/>
      <c r="AY10" s="1173"/>
      <c r="AZ10" s="1173"/>
      <c r="BA10" s="1173"/>
      <c r="BB10" s="1177"/>
      <c r="BC10" s="2135"/>
      <c r="BE10" s="368"/>
      <c r="BF10" s="368"/>
      <c r="BG10" s="368"/>
      <c r="BH10" s="368"/>
    </row>
    <row r="11" spans="1:60" ht="11.25" hidden="1" customHeight="1">
      <c r="A11" s="1143"/>
      <c r="B11" s="1143"/>
      <c r="C11" s="1143"/>
      <c r="D11" s="1143"/>
      <c r="E11" s="2112"/>
      <c r="F11" s="2112"/>
      <c r="G11" s="2112"/>
      <c r="H11" s="2112"/>
      <c r="I11" s="2114"/>
      <c r="J11" s="2114"/>
      <c r="K11" s="2113"/>
      <c r="L11" s="1144"/>
      <c r="P11" s="2115"/>
      <c r="Q11" s="2115"/>
      <c r="R11" s="2164"/>
      <c r="S11" s="2162"/>
      <c r="T11" s="2181"/>
      <c r="U11" s="175"/>
      <c r="V11" s="1173"/>
      <c r="W11" s="1266"/>
      <c r="X11" s="1173"/>
      <c r="Y11" s="1266"/>
      <c r="Z11" s="1173"/>
      <c r="AA11" s="1173"/>
      <c r="AB11" s="1173"/>
      <c r="AC11" s="1173"/>
      <c r="AD11" s="2050"/>
      <c r="AE11" s="2157"/>
      <c r="AF11" s="2063"/>
      <c r="AG11" s="2179"/>
      <c r="AH11" s="2109"/>
      <c r="AI11" s="169"/>
      <c r="AJ11" s="295"/>
      <c r="AK11" s="190" t="s">
        <v>428</v>
      </c>
      <c r="AL11" s="1173"/>
      <c r="AM11" s="1173"/>
      <c r="AN11" s="1173"/>
      <c r="AO11" s="1173"/>
      <c r="AP11" s="1173"/>
      <c r="AQ11" s="1173"/>
      <c r="AR11" s="1173"/>
      <c r="AS11" s="1173"/>
      <c r="AT11" s="1173"/>
      <c r="AU11" s="1266"/>
      <c r="AV11" s="1173"/>
      <c r="AW11" s="1266"/>
      <c r="AX11" s="1173"/>
      <c r="AY11" s="1173"/>
      <c r="AZ11" s="1173"/>
      <c r="BA11" s="1173"/>
      <c r="BB11" s="1177"/>
      <c r="BC11" s="2135"/>
      <c r="BE11" s="368"/>
      <c r="BF11" s="368"/>
      <c r="BG11" s="368"/>
      <c r="BH11" s="368"/>
    </row>
    <row r="12" spans="1:60" ht="11.25" hidden="1" customHeight="1">
      <c r="A12" s="1143"/>
      <c r="B12" s="1143"/>
      <c r="C12" s="1143"/>
      <c r="D12" s="1143"/>
      <c r="E12" s="2112"/>
      <c r="F12" s="2112"/>
      <c r="G12" s="2112"/>
      <c r="H12" s="2112"/>
      <c r="I12" s="2114"/>
      <c r="J12" s="2114"/>
      <c r="K12" s="2113"/>
      <c r="L12" s="1144"/>
      <c r="P12" s="2115"/>
      <c r="Q12" s="2115"/>
      <c r="R12" s="2164"/>
      <c r="S12" s="2163"/>
      <c r="T12" s="2182"/>
      <c r="U12" s="175"/>
      <c r="V12" s="1173"/>
      <c r="W12" s="1174" t="str">
        <f>Z8&amp;"-"&amp;AB8</f>
        <v>-</v>
      </c>
      <c r="X12" s="1173"/>
      <c r="Y12" s="1174" t="str">
        <f>AB8&amp;"-"&amp;AD8</f>
        <v>-да</v>
      </c>
      <c r="Z12" s="1173"/>
      <c r="AA12" s="1173"/>
      <c r="AB12" s="1173"/>
      <c r="AC12" s="1173"/>
      <c r="AD12" s="2051"/>
      <c r="AE12" s="189"/>
      <c r="AF12" s="191"/>
      <c r="AG12" s="296" t="s">
        <v>429</v>
      </c>
      <c r="AH12" s="1173"/>
      <c r="AI12" s="1173"/>
      <c r="AJ12" s="1173"/>
      <c r="AK12" s="1173"/>
      <c r="AL12" s="1173"/>
      <c r="AM12" s="1173"/>
      <c r="AN12" s="1173"/>
      <c r="AO12" s="1173"/>
      <c r="AP12" s="1173"/>
      <c r="AQ12" s="1173"/>
      <c r="AR12" s="1173"/>
      <c r="AS12" s="1173"/>
      <c r="AT12" s="1173"/>
      <c r="AU12" s="1174" t="str">
        <f>AX8&amp;"-"&amp;AZ8</f>
        <v>-</v>
      </c>
      <c r="AV12" s="1173"/>
      <c r="AW12" s="1174" t="str">
        <f>AZ8&amp;"-"&amp;BB8</f>
        <v>-</v>
      </c>
      <c r="AX12" s="1173"/>
      <c r="AY12" s="1173"/>
      <c r="AZ12" s="1173"/>
      <c r="BA12" s="1173"/>
      <c r="BB12" s="1176" t="str">
        <f>BE8&amp;"-"&amp;BG8</f>
        <v>-</v>
      </c>
      <c r="BC12" s="2135"/>
      <c r="BE12" s="368"/>
      <c r="BF12" s="368" t="str">
        <f t="shared" ref="BF12:BF18" si="1">IF(T12="","",T12)</f>
        <v/>
      </c>
      <c r="BG12" s="368"/>
      <c r="BH12" s="368"/>
    </row>
    <row r="13" spans="1:60" ht="11.25" hidden="1" customHeight="1">
      <c r="A13" s="1143"/>
      <c r="B13" s="1143"/>
      <c r="C13" s="1143"/>
      <c r="D13" s="1143"/>
      <c r="E13" s="2112"/>
      <c r="F13" s="2112"/>
      <c r="G13" s="2112"/>
      <c r="H13" s="2112"/>
      <c r="I13" s="2114"/>
      <c r="J13" s="2113"/>
      <c r="K13" s="1143"/>
      <c r="L13" s="1144"/>
      <c r="P13" s="2115"/>
      <c r="Q13" s="2115"/>
      <c r="R13" s="237"/>
      <c r="S13" s="1062"/>
      <c r="T13" s="163" t="s">
        <v>393</v>
      </c>
      <c r="U13" s="251"/>
      <c r="V13" s="251"/>
      <c r="W13" s="251"/>
      <c r="X13" s="251"/>
      <c r="Y13" s="251"/>
      <c r="Z13" s="251"/>
      <c r="AA13" s="251"/>
      <c r="AB13" s="251"/>
      <c r="AC13" s="251"/>
      <c r="AD13" s="1275"/>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06"/>
      <c r="BC13" s="2136"/>
      <c r="BE13" s="368"/>
      <c r="BF13" s="368" t="str">
        <f t="shared" si="1"/>
        <v>Добавить строку</v>
      </c>
      <c r="BG13" s="368"/>
      <c r="BH13" s="368"/>
    </row>
    <row r="14" spans="1:60" s="1622" customFormat="1" ht="14.25" hidden="1" customHeight="1">
      <c r="A14" s="1124"/>
      <c r="B14" s="1124"/>
      <c r="C14" s="1124"/>
      <c r="D14" s="1124"/>
      <c r="E14" s="2112"/>
      <c r="F14" s="2112"/>
      <c r="G14" s="2112"/>
      <c r="H14" s="2112"/>
      <c r="I14" s="2113"/>
      <c r="J14" s="1124"/>
      <c r="K14" s="1124"/>
      <c r="L14" s="1127"/>
      <c r="M14" s="378"/>
      <c r="N14" s="378"/>
      <c r="O14" s="378"/>
      <c r="P14" s="2115"/>
      <c r="Q14" s="1251"/>
      <c r="R14" s="237"/>
      <c r="S14" s="1166"/>
      <c r="T14" s="1167"/>
      <c r="U14" s="1168"/>
      <c r="V14" s="1168"/>
      <c r="W14" s="1168"/>
      <c r="X14" s="1168"/>
      <c r="Y14" s="1168"/>
      <c r="Z14" s="1168"/>
      <c r="AA14" s="1168"/>
      <c r="AB14" s="1168"/>
      <c r="AC14" s="1168"/>
      <c r="AD14" s="1168"/>
      <c r="AE14" s="1168"/>
      <c r="AF14" s="1168"/>
      <c r="AG14" s="1168"/>
      <c r="AH14" s="1168"/>
      <c r="AI14" s="1168"/>
      <c r="AJ14" s="1168"/>
      <c r="AK14" s="1168"/>
      <c r="AL14" s="1168"/>
      <c r="AM14" s="1168"/>
      <c r="AN14" s="1168"/>
      <c r="AO14" s="1168"/>
      <c r="AP14" s="1168"/>
      <c r="AQ14" s="1168"/>
      <c r="AR14" s="1168"/>
      <c r="AS14" s="1168"/>
      <c r="AT14" s="1168"/>
      <c r="AU14" s="1168"/>
      <c r="AV14" s="1168"/>
      <c r="AW14" s="1168"/>
      <c r="AX14" s="1168"/>
      <c r="AY14" s="1168"/>
      <c r="AZ14" s="1168"/>
      <c r="BA14" s="1168"/>
      <c r="BB14" s="1168"/>
      <c r="BC14" s="1169"/>
      <c r="BE14" s="368"/>
      <c r="BF14" s="368" t="str">
        <f t="shared" si="1"/>
        <v/>
      </c>
      <c r="BG14" s="368"/>
      <c r="BH14" s="368"/>
    </row>
    <row r="15" spans="1:60" s="1622" customFormat="1" ht="14.25" hidden="1" customHeight="1">
      <c r="A15" s="1124"/>
      <c r="B15" s="1124"/>
      <c r="C15" s="1124"/>
      <c r="D15" s="1124"/>
      <c r="E15" s="2112"/>
      <c r="F15" s="2112"/>
      <c r="G15" s="2112"/>
      <c r="H15" s="2111"/>
      <c r="I15" s="1124"/>
      <c r="J15" s="1124"/>
      <c r="K15" s="1124"/>
      <c r="L15" s="1127"/>
      <c r="M15" s="1097"/>
      <c r="N15" s="1097"/>
      <c r="O15" s="386"/>
      <c r="P15" s="269"/>
      <c r="Q15" s="1125"/>
      <c r="R15" s="1181"/>
      <c r="S15" s="1166"/>
      <c r="T15" s="1167"/>
      <c r="U15" s="1168"/>
      <c r="V15" s="1168"/>
      <c r="W15" s="1168"/>
      <c r="X15" s="1168"/>
      <c r="Y15" s="1168"/>
      <c r="Z15" s="1168"/>
      <c r="AA15" s="1168"/>
      <c r="AB15" s="1168"/>
      <c r="AC15" s="1168"/>
      <c r="AD15" s="1168"/>
      <c r="AE15" s="1168"/>
      <c r="AF15" s="1168"/>
      <c r="AG15" s="1168"/>
      <c r="AH15" s="1168"/>
      <c r="AI15" s="1168"/>
      <c r="AJ15" s="1168"/>
      <c r="AK15" s="1168"/>
      <c r="AL15" s="1168"/>
      <c r="AM15" s="1168"/>
      <c r="AN15" s="1168"/>
      <c r="AO15" s="1168"/>
      <c r="AP15" s="1168"/>
      <c r="AQ15" s="1168"/>
      <c r="AR15" s="1168"/>
      <c r="AS15" s="1168"/>
      <c r="AT15" s="1168"/>
      <c r="AU15" s="1168"/>
      <c r="AV15" s="1168"/>
      <c r="AW15" s="1168"/>
      <c r="AX15" s="1168"/>
      <c r="AY15" s="1168"/>
      <c r="AZ15" s="1168"/>
      <c r="BA15" s="1168"/>
      <c r="BB15" s="1168"/>
      <c r="BC15" s="1169"/>
      <c r="BE15" s="368"/>
      <c r="BF15" s="368" t="str">
        <f t="shared" si="1"/>
        <v/>
      </c>
      <c r="BG15" s="368"/>
      <c r="BH15" s="368"/>
    </row>
    <row r="16" spans="1:60" s="1686" customFormat="1" ht="14.25" hidden="1" customHeight="1">
      <c r="A16" s="1124"/>
      <c r="B16" s="1124"/>
      <c r="C16" s="1124"/>
      <c r="D16" s="1096"/>
      <c r="E16" s="2112"/>
      <c r="F16" s="2112"/>
      <c r="G16" s="2111"/>
      <c r="H16" s="1096"/>
      <c r="I16" s="1096"/>
      <c r="J16" s="1096"/>
      <c r="K16" s="1096"/>
      <c r="L16" s="1264"/>
      <c r="M16" s="1097"/>
      <c r="N16" s="1097"/>
      <c r="P16" s="1098"/>
      <c r="Q16" s="1099"/>
      <c r="R16" s="1098"/>
      <c r="S16" s="1104"/>
      <c r="T16" s="1107"/>
      <c r="U16" s="1106"/>
      <c r="V16" s="1106"/>
      <c r="W16" s="1106"/>
      <c r="X16" s="1106"/>
      <c r="Y16" s="1106"/>
      <c r="Z16" s="1106"/>
      <c r="AA16" s="1106"/>
      <c r="AB16" s="1106"/>
      <c r="AC16" s="1106"/>
      <c r="AD16" s="1106"/>
      <c r="AE16" s="1106"/>
      <c r="AF16" s="1106"/>
      <c r="AG16" s="1106"/>
      <c r="AH16" s="1106"/>
      <c r="AI16" s="1106"/>
      <c r="AJ16" s="1106"/>
      <c r="AK16" s="1106"/>
      <c r="AL16" s="1106"/>
      <c r="AM16" s="1106"/>
      <c r="AN16" s="1106"/>
      <c r="AO16" s="1106"/>
      <c r="AP16" s="1106"/>
      <c r="AQ16" s="1106"/>
      <c r="AR16" s="1106"/>
      <c r="AS16" s="1106"/>
      <c r="AT16" s="1106"/>
      <c r="AU16" s="1106"/>
      <c r="AV16" s="1106"/>
      <c r="AW16" s="1106"/>
      <c r="AX16" s="1106"/>
      <c r="AY16" s="1106"/>
      <c r="AZ16" s="1106"/>
      <c r="BA16" s="1106"/>
      <c r="BB16" s="1106"/>
      <c r="BC16" s="1106"/>
      <c r="BE16" s="598"/>
      <c r="BF16" s="598" t="str">
        <f t="shared" si="1"/>
        <v/>
      </c>
      <c r="BG16" s="598"/>
      <c r="BH16" s="598"/>
    </row>
    <row r="17" spans="1:60" s="1686" customFormat="1" ht="14.25" hidden="1" customHeight="1">
      <c r="A17" s="1124"/>
      <c r="B17" s="1124"/>
      <c r="C17" s="1096"/>
      <c r="D17" s="1096"/>
      <c r="E17" s="2112"/>
      <c r="F17" s="2111"/>
      <c r="G17" s="1096"/>
      <c r="H17" s="1096"/>
      <c r="I17" s="1096"/>
      <c r="J17" s="1096"/>
      <c r="K17" s="1096"/>
      <c r="L17" s="1264"/>
      <c r="M17" s="1103"/>
      <c r="N17" s="1103"/>
      <c r="P17" s="1098"/>
      <c r="Q17" s="1099"/>
      <c r="R17" s="1098"/>
      <c r="S17" s="1104"/>
      <c r="T17" s="1107" t="s">
        <v>341</v>
      </c>
      <c r="U17" s="1106"/>
      <c r="V17" s="1106"/>
      <c r="W17" s="1106"/>
      <c r="X17" s="1106"/>
      <c r="Y17" s="1106"/>
      <c r="Z17" s="1106"/>
      <c r="AA17" s="1106"/>
      <c r="AB17" s="1106"/>
      <c r="AC17" s="1106"/>
      <c r="AD17" s="1106"/>
      <c r="AE17" s="1106"/>
      <c r="AF17" s="1106"/>
      <c r="AG17" s="1106"/>
      <c r="AH17" s="1106"/>
      <c r="AI17" s="1106"/>
      <c r="AJ17" s="1106"/>
      <c r="AK17" s="1106"/>
      <c r="AL17" s="1106"/>
      <c r="AM17" s="1106"/>
      <c r="AN17" s="1106"/>
      <c r="AO17" s="1106"/>
      <c r="AP17" s="1106"/>
      <c r="AQ17" s="1106"/>
      <c r="AR17" s="1106"/>
      <c r="AS17" s="1106"/>
      <c r="AT17" s="1106"/>
      <c r="AU17" s="1106"/>
      <c r="AV17" s="1106"/>
      <c r="AW17" s="1106"/>
      <c r="AX17" s="1106"/>
      <c r="AY17" s="1106"/>
      <c r="AZ17" s="1106"/>
      <c r="BA17" s="1106"/>
      <c r="BB17" s="1106"/>
      <c r="BC17" s="1106"/>
      <c r="BE17" s="598"/>
      <c r="BF17" s="598" t="str">
        <f t="shared" si="1"/>
        <v>Добавить централизованную систему для дифференциации</v>
      </c>
      <c r="BG17" s="598"/>
      <c r="BH17" s="598"/>
    </row>
    <row r="18" spans="1:60" s="1622" customFormat="1" ht="14.25" hidden="1" customHeight="1">
      <c r="A18" s="1124"/>
      <c r="B18" s="1124"/>
      <c r="C18" s="1124"/>
      <c r="D18" s="1124"/>
      <c r="E18" s="2111"/>
      <c r="F18" s="1124"/>
      <c r="G18" s="1124"/>
      <c r="H18" s="1124"/>
      <c r="I18" s="1124"/>
      <c r="J18" s="1124"/>
      <c r="K18" s="1124"/>
      <c r="L18" s="1127"/>
      <c r="M18" s="1103"/>
      <c r="N18" s="1103"/>
      <c r="O18" s="386"/>
      <c r="P18" s="269"/>
      <c r="Q18" s="1125"/>
      <c r="R18" s="269"/>
      <c r="S18" s="1104"/>
      <c r="T18" s="1107" t="s">
        <v>342</v>
      </c>
      <c r="U18" s="1106"/>
      <c r="V18" s="1106"/>
      <c r="W18" s="1106"/>
      <c r="X18" s="1106"/>
      <c r="Y18" s="1106"/>
      <c r="Z18" s="1106"/>
      <c r="AA18" s="1106"/>
      <c r="AB18" s="1106"/>
      <c r="AC18" s="1106"/>
      <c r="AD18" s="1106"/>
      <c r="AE18" s="1106"/>
      <c r="AF18" s="1106"/>
      <c r="AG18" s="1106"/>
      <c r="AH18" s="1106"/>
      <c r="AI18" s="1106"/>
      <c r="AJ18" s="1106"/>
      <c r="AK18" s="1106"/>
      <c r="AL18" s="1106"/>
      <c r="AM18" s="1106"/>
      <c r="AN18" s="1106"/>
      <c r="AO18" s="1106"/>
      <c r="AP18" s="1106"/>
      <c r="AQ18" s="1106"/>
      <c r="AR18" s="1106"/>
      <c r="AS18" s="1106"/>
      <c r="AT18" s="1106"/>
      <c r="AU18" s="1106"/>
      <c r="AV18" s="1106"/>
      <c r="AW18" s="1106"/>
      <c r="AX18" s="1106"/>
      <c r="AY18" s="1106"/>
      <c r="AZ18" s="1106"/>
      <c r="BA18" s="1106"/>
      <c r="BB18" s="1106"/>
      <c r="BC18" s="1106"/>
      <c r="BE18" s="368"/>
      <c r="BF18" s="368" t="str">
        <f t="shared" si="1"/>
        <v>Добавить территорию для дифференциации</v>
      </c>
      <c r="BG18" s="368"/>
      <c r="BH18" s="368"/>
    </row>
    <row r="19" spans="1:60" ht="14.25" hidden="1" customHeight="1">
      <c r="AC19" s="210"/>
      <c r="BA19" s="210"/>
    </row>
    <row r="20" spans="1:60" ht="14.25" hidden="1" customHeight="1">
      <c r="AD20" s="1106" t="s">
        <v>15</v>
      </c>
      <c r="AE20" s="1271"/>
      <c r="AF20" s="406">
        <v>1</v>
      </c>
      <c r="AG20" s="1272"/>
      <c r="AH20" s="1106" t="s">
        <v>15</v>
      </c>
      <c r="AI20" s="1271"/>
      <c r="AJ20" s="406">
        <v>1</v>
      </c>
      <c r="AK20" s="1272"/>
      <c r="AL20" s="1106" t="s">
        <v>15</v>
      </c>
      <c r="AM20" s="1273"/>
      <c r="AN20" s="406">
        <v>1</v>
      </c>
      <c r="AO20" s="1274"/>
      <c r="AP20" s="1106" t="s">
        <v>15</v>
      </c>
      <c r="AQ20" s="1273"/>
      <c r="AR20" s="406">
        <v>1</v>
      </c>
      <c r="AS20" s="1274"/>
      <c r="AT20" s="207"/>
      <c r="AU20" s="274"/>
      <c r="AV20" s="207"/>
      <c r="AW20" s="274"/>
      <c r="AX20" s="1476"/>
      <c r="AY20" s="1255" t="s">
        <v>16</v>
      </c>
      <c r="AZ20" s="1476"/>
      <c r="BA20" s="1255" t="s">
        <v>16</v>
      </c>
    </row>
    <row r="21" spans="1:60" ht="14.25" hidden="1" customHeight="1">
      <c r="BD21" s="364"/>
      <c r="BE21" s="364"/>
      <c r="BF21" s="364"/>
      <c r="BG21" s="364"/>
      <c r="BH21" s="364"/>
    </row>
    <row r="22" spans="1:60" ht="14.25" hidden="1" customHeight="1">
      <c r="O22" s="1147" t="s">
        <v>343</v>
      </c>
      <c r="Z22" s="1126"/>
      <c r="AB22" s="1126"/>
      <c r="AC22" s="210"/>
      <c r="AX22" s="1126"/>
      <c r="AZ22" s="1126"/>
      <c r="BA22" s="210"/>
      <c r="BD22" s="364"/>
      <c r="BE22" s="364"/>
      <c r="BF22" s="364"/>
      <c r="BG22" s="364"/>
      <c r="BH22" s="364"/>
    </row>
    <row r="23" spans="1:60" ht="14.25" hidden="1" customHeight="1">
      <c r="AC23" s="210"/>
      <c r="BA23" s="210"/>
      <c r="BD23" s="364"/>
      <c r="BE23" s="364"/>
      <c r="BF23" s="364"/>
      <c r="BG23" s="364"/>
      <c r="BH23" s="364"/>
    </row>
    <row r="24" spans="1:60" s="1700" customFormat="1" ht="14.25" hidden="1" customHeight="1">
      <c r="M24" s="1278"/>
      <c r="N24" s="1278"/>
      <c r="O24" s="1279" t="s">
        <v>344</v>
      </c>
      <c r="P24" s="1278"/>
      <c r="Q24" s="1280"/>
      <c r="R24" s="1280"/>
      <c r="AA24" s="1277" t="s">
        <v>346</v>
      </c>
      <c r="AC24" s="1277" t="s">
        <v>347</v>
      </c>
      <c r="AD24" s="1277" t="s">
        <v>394</v>
      </c>
      <c r="AH24" s="1277" t="s">
        <v>394</v>
      </c>
      <c r="AK24" s="1277" t="s">
        <v>430</v>
      </c>
      <c r="AL24" s="1277" t="s">
        <v>394</v>
      </c>
      <c r="AP24" s="1277" t="s">
        <v>394</v>
      </c>
      <c r="AY24" s="1277" t="s">
        <v>346</v>
      </c>
      <c r="BA24" s="1277" t="s">
        <v>347</v>
      </c>
      <c r="BD24" s="1281"/>
      <c r="BE24" s="1281"/>
      <c r="BF24" s="1281"/>
      <c r="BG24" s="1281"/>
      <c r="BH24" s="1281"/>
    </row>
    <row r="25" spans="1:60" ht="14.25" hidden="1" customHeight="1">
      <c r="O25" s="1144"/>
      <c r="BD25" s="364"/>
      <c r="BE25" s="364"/>
      <c r="BF25" s="364"/>
      <c r="BG25" s="364"/>
      <c r="BH25" s="364"/>
    </row>
    <row r="26" spans="1:60" ht="14.25" hidden="1" customHeight="1">
      <c r="O26" s="1144"/>
      <c r="BD26" s="364"/>
      <c r="BE26" s="364"/>
      <c r="BF26" s="364"/>
      <c r="BG26" s="364"/>
      <c r="BH26" s="364"/>
    </row>
    <row r="27" spans="1:60" ht="14.25" customHeight="1">
      <c r="Q27" s="167"/>
      <c r="R27" s="261"/>
      <c r="S27" s="1059"/>
      <c r="T27" s="246"/>
      <c r="U27" s="246"/>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row>
    <row r="28" spans="1:60" ht="14.25" customHeight="1">
      <c r="Q28" s="167"/>
      <c r="R28" s="261"/>
      <c r="S28" s="208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88"/>
      <c r="U28" s="2088"/>
      <c r="V28" s="2088"/>
      <c r="W28" s="2088"/>
      <c r="X28" s="2088"/>
      <c r="Y28" s="2088"/>
      <c r="Z28" s="2088"/>
      <c r="AA28" s="2088"/>
      <c r="AB28" s="2088"/>
      <c r="AC28" s="2088"/>
      <c r="AD28" s="2088"/>
      <c r="AE28" s="2088"/>
      <c r="AF28" s="2088"/>
      <c r="AG28" s="2088"/>
      <c r="AH28" s="2088"/>
      <c r="AI28" s="2088"/>
      <c r="AJ28" s="2088"/>
      <c r="AK28" s="2088"/>
      <c r="AL28" s="2088"/>
      <c r="AM28" s="2088"/>
      <c r="AN28" s="2088"/>
      <c r="AO28" s="2088"/>
      <c r="AP28" s="2088"/>
      <c r="AQ28" s="2088"/>
      <c r="AR28" s="2088"/>
      <c r="AS28" s="2088"/>
      <c r="AT28" s="2088"/>
      <c r="AU28" s="2088"/>
      <c r="AV28" s="2088"/>
      <c r="AW28" s="2088"/>
      <c r="AX28" s="2088"/>
      <c r="AY28" s="2088"/>
      <c r="AZ28" s="2088"/>
      <c r="BA28" s="1019"/>
    </row>
    <row r="29" spans="1:60" ht="14.25" customHeight="1">
      <c r="Q29" s="167"/>
      <c r="R29" s="261"/>
      <c r="S29" s="2059" t="e">
        <f>IF(org=0,"Не определено",org)</f>
        <v>#REF!</v>
      </c>
      <c r="T29" s="2059"/>
      <c r="U29" s="2059"/>
      <c r="V29" s="2059"/>
      <c r="W29" s="2059"/>
      <c r="X29" s="2059"/>
      <c r="Y29" s="2059"/>
      <c r="Z29" s="2059"/>
      <c r="AA29" s="2059"/>
      <c r="AB29" s="2059"/>
      <c r="AC29" s="2059"/>
      <c r="AD29" s="2059"/>
      <c r="AE29" s="2059"/>
      <c r="AF29" s="2059"/>
      <c r="AG29" s="2059"/>
      <c r="AH29" s="2059"/>
      <c r="AI29" s="2059"/>
      <c r="AJ29" s="2059"/>
      <c r="AK29" s="2059"/>
      <c r="AL29" s="2059"/>
      <c r="AM29" s="2059"/>
      <c r="AN29" s="2059"/>
      <c r="AO29" s="2059"/>
      <c r="AP29" s="2059"/>
      <c r="AQ29" s="2059"/>
      <c r="AR29" s="2059"/>
      <c r="AS29" s="2059"/>
      <c r="AT29" s="2059"/>
      <c r="AU29" s="2059"/>
      <c r="AV29" s="2059"/>
      <c r="AW29" s="2059"/>
      <c r="AX29" s="2059"/>
      <c r="AY29" s="2059"/>
      <c r="AZ29" s="2059"/>
      <c r="BA29" s="1019"/>
    </row>
    <row r="30" spans="1:60" ht="14.25" hidden="1" customHeight="1">
      <c r="Q30" s="167"/>
      <c r="R30" s="261"/>
      <c r="S30" s="1059"/>
      <c r="T30" s="246"/>
      <c r="U30" s="246"/>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377"/>
    </row>
    <row r="31" spans="1:60" s="1692" customFormat="1" ht="25.5" hidden="1" customHeight="1">
      <c r="A31" s="1148"/>
      <c r="B31" s="1148"/>
      <c r="C31" s="1148"/>
      <c r="D31" s="1148"/>
      <c r="E31" s="1148"/>
      <c r="F31" s="1148"/>
      <c r="G31" s="1148"/>
      <c r="H31" s="1148"/>
      <c r="I31" s="1148"/>
      <c r="J31" s="1148"/>
      <c r="K31" s="1148"/>
      <c r="L31" s="1149"/>
      <c r="M31" s="1148"/>
      <c r="N31" s="1148"/>
      <c r="O31" s="1148"/>
      <c r="P31" s="1148"/>
      <c r="Q31" s="1148"/>
      <c r="S31" s="2101" t="s">
        <v>6</v>
      </c>
      <c r="T31" s="2101"/>
      <c r="U31" s="1152"/>
      <c r="V31" s="2103" t="e">
        <f>IF(TITLE_NAME_OR_PR_CHANGE="",IF(TITLE_NAME_OR_PR="","",TITLE_NAME_OR_PR),TITLE_NAME_OR_PR_CHANGE)</f>
        <v>#REF!</v>
      </c>
      <c r="W31" s="2103"/>
      <c r="X31" s="2103"/>
      <c r="Y31" s="2103"/>
      <c r="Z31" s="2103"/>
      <c r="AA31" s="2103"/>
      <c r="AB31" s="2103"/>
      <c r="AC31" s="209"/>
      <c r="AD31" s="2103" t="e">
        <f>IF(TITLE_NAME_OR_PR_CHANGE="",IF(TITLE_NAME_OR_PR="","",TITLE_NAME_OR_PR),TITLE_NAME_OR_PR_CHANGE)</f>
        <v>#REF!</v>
      </c>
      <c r="AE31" s="2103"/>
      <c r="AF31" s="2103"/>
      <c r="AG31" s="2103"/>
      <c r="AH31" s="2103"/>
      <c r="AI31" s="2103"/>
      <c r="AJ31" s="2103"/>
      <c r="AK31" s="2103"/>
      <c r="AL31" s="2103"/>
      <c r="AM31" s="2103"/>
      <c r="AN31" s="2103"/>
      <c r="AO31" s="2103"/>
      <c r="AP31" s="2103"/>
      <c r="AQ31" s="2103"/>
      <c r="AR31" s="2103"/>
      <c r="AS31" s="2103"/>
      <c r="AT31" s="2103"/>
      <c r="AU31" s="2103"/>
      <c r="AV31" s="2103"/>
      <c r="AW31" s="2103"/>
      <c r="AX31" s="2103"/>
      <c r="AY31" s="2103"/>
      <c r="AZ31" s="2103"/>
      <c r="BA31" s="209"/>
      <c r="BB31" s="209"/>
      <c r="BC31" s="157"/>
      <c r="BD31" s="252"/>
      <c r="BE31" s="252"/>
      <c r="BF31" s="252"/>
      <c r="BG31" s="252"/>
      <c r="BH31" s="252"/>
    </row>
    <row r="32" spans="1:60" s="1692" customFormat="1" ht="18.75" hidden="1" customHeight="1">
      <c r="A32" s="1148"/>
      <c r="B32" s="1148"/>
      <c r="C32" s="1148"/>
      <c r="D32" s="1148"/>
      <c r="E32" s="1148"/>
      <c r="F32" s="1148"/>
      <c r="G32" s="1148"/>
      <c r="H32" s="1148"/>
      <c r="I32" s="1148"/>
      <c r="J32" s="1148"/>
      <c r="K32" s="1148"/>
      <c r="L32" s="1149"/>
      <c r="M32" s="1148"/>
      <c r="N32" s="1148"/>
      <c r="O32" s="1148"/>
      <c r="P32" s="1148"/>
      <c r="Q32" s="1148"/>
      <c r="S32" s="2101" t="s">
        <v>349</v>
      </c>
      <c r="T32" s="2101"/>
      <c r="U32" s="1152"/>
      <c r="V32" s="2102" t="e">
        <f>IF(TITLE_DATE_PR_CHANGE="",IF(TITLE_DATE_PR="","",TITLE_DATE_PR),TITLE_DATE_PR_CHANGE)</f>
        <v>#REF!</v>
      </c>
      <c r="W32" s="2102"/>
      <c r="X32" s="2102"/>
      <c r="Y32" s="2102"/>
      <c r="Z32" s="2102"/>
      <c r="AA32" s="2102"/>
      <c r="AB32" s="2102"/>
      <c r="AC32" s="209"/>
      <c r="AD32" s="2102" t="e">
        <f>IF(TITLE_DATE_PR_CHANGE="",IF(TITLE_DATE_PR="","",TITLE_DATE_PR),TITLE_DATE_PR_CHANGE)</f>
        <v>#REF!</v>
      </c>
      <c r="AE32" s="2102"/>
      <c r="AF32" s="2102"/>
      <c r="AG32" s="2102"/>
      <c r="AH32" s="2102"/>
      <c r="AI32" s="2102"/>
      <c r="AJ32" s="2102"/>
      <c r="AK32" s="2102"/>
      <c r="AL32" s="2102"/>
      <c r="AM32" s="2102"/>
      <c r="AN32" s="2102"/>
      <c r="AO32" s="2102"/>
      <c r="AP32" s="2102"/>
      <c r="AQ32" s="2102"/>
      <c r="AR32" s="2102"/>
      <c r="AS32" s="2102"/>
      <c r="AT32" s="2102"/>
      <c r="AU32" s="2102"/>
      <c r="AV32" s="2102"/>
      <c r="AW32" s="2102"/>
      <c r="AX32" s="2102"/>
      <c r="AY32" s="2102"/>
      <c r="AZ32" s="2102"/>
      <c r="BA32" s="209"/>
      <c r="BB32" s="209"/>
      <c r="BC32" s="157"/>
      <c r="BD32" s="252"/>
      <c r="BE32" s="252"/>
      <c r="BF32" s="252"/>
      <c r="BG32" s="252"/>
      <c r="BH32" s="252"/>
    </row>
    <row r="33" spans="1:60" s="1692" customFormat="1" ht="18.75" hidden="1" customHeight="1">
      <c r="A33" s="1148"/>
      <c r="B33" s="1148"/>
      <c r="C33" s="1148"/>
      <c r="D33" s="1148"/>
      <c r="E33" s="1148"/>
      <c r="F33" s="1148"/>
      <c r="G33" s="1148"/>
      <c r="H33" s="1148"/>
      <c r="I33" s="1148"/>
      <c r="J33" s="1148"/>
      <c r="K33" s="1148"/>
      <c r="L33" s="1149"/>
      <c r="M33" s="1148"/>
      <c r="N33" s="1148"/>
      <c r="O33" s="1148"/>
      <c r="P33" s="1148"/>
      <c r="Q33" s="1148"/>
      <c r="S33" s="2101" t="s">
        <v>350</v>
      </c>
      <c r="T33" s="2101"/>
      <c r="U33" s="1152"/>
      <c r="V33" s="2103" t="e">
        <f>IF(TITLE_NUMBER_PR_CHANGE="",IF(TITLE_NUMBER_PR="","",TITLE_NUMBER_PR),TITLE_NUMBER_PR_CHANGE)</f>
        <v>#REF!</v>
      </c>
      <c r="W33" s="2103"/>
      <c r="X33" s="2103"/>
      <c r="Y33" s="2103"/>
      <c r="Z33" s="2103"/>
      <c r="AA33" s="2103"/>
      <c r="AB33" s="2103"/>
      <c r="AC33" s="209"/>
      <c r="AD33" s="2103" t="e">
        <f>IF(TITLE_NUMBER_PR_CHANGE="",IF(TITLE_NUMBER_PR="","",TITLE_NUMBER_PR),TITLE_NUMBER_PR_CHANGE)</f>
        <v>#REF!</v>
      </c>
      <c r="AE33" s="2103"/>
      <c r="AF33" s="2103"/>
      <c r="AG33" s="2103"/>
      <c r="AH33" s="2103"/>
      <c r="AI33" s="2103"/>
      <c r="AJ33" s="2103"/>
      <c r="AK33" s="2103"/>
      <c r="AL33" s="2103"/>
      <c r="AM33" s="2103"/>
      <c r="AN33" s="2103"/>
      <c r="AO33" s="2103"/>
      <c r="AP33" s="2103"/>
      <c r="AQ33" s="2103"/>
      <c r="AR33" s="2103"/>
      <c r="AS33" s="2103"/>
      <c r="AT33" s="2103"/>
      <c r="AU33" s="2103"/>
      <c r="AV33" s="2103"/>
      <c r="AW33" s="2103"/>
      <c r="AX33" s="2103"/>
      <c r="AY33" s="2103"/>
      <c r="AZ33" s="2103"/>
      <c r="BA33" s="209"/>
      <c r="BB33" s="209"/>
      <c r="BC33" s="157"/>
      <c r="BD33" s="252"/>
      <c r="BE33" s="252"/>
      <c r="BF33" s="252"/>
      <c r="BG33" s="252"/>
      <c r="BH33" s="252"/>
    </row>
    <row r="34" spans="1:60" s="1692" customFormat="1" ht="18.75" hidden="1" customHeight="1">
      <c r="A34" s="1148"/>
      <c r="B34" s="1148"/>
      <c r="C34" s="1148"/>
      <c r="D34" s="1148"/>
      <c r="E34" s="1148"/>
      <c r="F34" s="1148"/>
      <c r="G34" s="1148"/>
      <c r="H34" s="1148"/>
      <c r="I34" s="1148"/>
      <c r="J34" s="1148"/>
      <c r="K34" s="1148"/>
      <c r="L34" s="1149"/>
      <c r="M34" s="1148"/>
      <c r="N34" s="1148"/>
      <c r="O34" s="1148"/>
      <c r="P34" s="1148"/>
      <c r="Q34" s="1148"/>
      <c r="S34" s="2101" t="s">
        <v>7</v>
      </c>
      <c r="T34" s="2101"/>
      <c r="U34" s="1152"/>
      <c r="V34" s="2103" t="e">
        <f>IF(TITLE_IST_PUB_CHANGE="",IF(TITLE_IST_PUB="","",TITLE_IST_PUB),TITLE_IST_PUB_CHANGE)</f>
        <v>#REF!</v>
      </c>
      <c r="W34" s="2103"/>
      <c r="X34" s="2103"/>
      <c r="Y34" s="2103"/>
      <c r="Z34" s="2103"/>
      <c r="AA34" s="2103"/>
      <c r="AB34" s="2103"/>
      <c r="AC34" s="209"/>
      <c r="AD34" s="2103" t="e">
        <f>IF(TITLE_IST_PUB_CHANGE="",IF(TITLE_IST_PUB="","",TITLE_IST_PUB),TITLE_IST_PUB_CHANGE)</f>
        <v>#REF!</v>
      </c>
      <c r="AE34" s="2103"/>
      <c r="AF34" s="2103"/>
      <c r="AG34" s="2103"/>
      <c r="AH34" s="2103"/>
      <c r="AI34" s="2103"/>
      <c r="AJ34" s="2103"/>
      <c r="AK34" s="2103"/>
      <c r="AL34" s="2103"/>
      <c r="AM34" s="2103"/>
      <c r="AN34" s="2103"/>
      <c r="AO34" s="2103"/>
      <c r="AP34" s="2103"/>
      <c r="AQ34" s="2103"/>
      <c r="AR34" s="2103"/>
      <c r="AS34" s="2103"/>
      <c r="AT34" s="2103"/>
      <c r="AU34" s="2103"/>
      <c r="AV34" s="2103"/>
      <c r="AW34" s="2103"/>
      <c r="AX34" s="2103"/>
      <c r="AY34" s="2103"/>
      <c r="AZ34" s="2103"/>
      <c r="BA34" s="209"/>
      <c r="BB34" s="209"/>
      <c r="BC34" s="157"/>
      <c r="BD34" s="252"/>
      <c r="BE34" s="252"/>
      <c r="BF34" s="252"/>
      <c r="BG34" s="252"/>
      <c r="BH34" s="252"/>
    </row>
    <row r="35" spans="1:60" ht="14.25" hidden="1" customHeight="1">
      <c r="Q35" s="167"/>
      <c r="R35" s="261"/>
      <c r="S35" s="1059"/>
      <c r="T35" s="246"/>
      <c r="U35" s="246"/>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377"/>
    </row>
    <row r="36" spans="1:60" s="1692" customFormat="1" ht="18.75" hidden="1" customHeight="1">
      <c r="A36" s="1148"/>
      <c r="B36" s="1148"/>
      <c r="C36" s="1148"/>
      <c r="D36" s="1148"/>
      <c r="E36" s="1148"/>
      <c r="F36" s="1148"/>
      <c r="G36" s="1148"/>
      <c r="H36" s="1148"/>
      <c r="I36" s="1148"/>
      <c r="J36" s="1148"/>
      <c r="K36" s="1148"/>
      <c r="L36" s="1149"/>
      <c r="M36" s="1148"/>
      <c r="N36" s="1148"/>
      <c r="O36" s="1148"/>
      <c r="P36" s="1148"/>
      <c r="Q36" s="1148"/>
      <c r="S36" s="2101" t="s">
        <v>349</v>
      </c>
      <c r="T36" s="2101"/>
      <c r="U36" s="1152"/>
      <c r="V36" s="2102" t="e">
        <f>IF(TITLE_DATE_PR_CHANGE="",IF(TITLE_DATE_PR="","",TITLE_DATE_PR),TITLE_DATE_PR_CHANGE)</f>
        <v>#REF!</v>
      </c>
      <c r="W36" s="2102"/>
      <c r="X36" s="2102"/>
      <c r="Y36" s="2102"/>
      <c r="Z36" s="2102"/>
      <c r="AA36" s="2102"/>
      <c r="AB36" s="2102"/>
      <c r="AC36" s="209"/>
      <c r="AD36" s="2102" t="e">
        <f>IF(TITLE_DATE_PR_CHANGE="",IF(TITLE_DATE_PR="","",TITLE_DATE_PR),TITLE_DATE_PR_CHANGE)</f>
        <v>#REF!</v>
      </c>
      <c r="AE36" s="2102"/>
      <c r="AF36" s="2102"/>
      <c r="AG36" s="2102"/>
      <c r="AH36" s="2102"/>
      <c r="AI36" s="2102"/>
      <c r="AJ36" s="2102"/>
      <c r="AK36" s="2102"/>
      <c r="AL36" s="2102"/>
      <c r="AM36" s="2102"/>
      <c r="AN36" s="2102"/>
      <c r="AO36" s="2102"/>
      <c r="AP36" s="2102"/>
      <c r="AQ36" s="2102"/>
      <c r="AR36" s="2102"/>
      <c r="AS36" s="2102"/>
      <c r="AT36" s="2102"/>
      <c r="AU36" s="2102"/>
      <c r="AV36" s="2102"/>
      <c r="AW36" s="2102"/>
      <c r="AX36" s="2102"/>
      <c r="AY36" s="2102"/>
      <c r="AZ36" s="2102"/>
      <c r="BA36" s="209"/>
      <c r="BB36" s="209"/>
      <c r="BC36" s="157"/>
      <c r="BD36" s="252"/>
      <c r="BE36" s="252"/>
      <c r="BF36" s="252"/>
      <c r="BG36" s="252"/>
      <c r="BH36" s="252"/>
    </row>
    <row r="37" spans="1:60" s="1692" customFormat="1" ht="18.75" hidden="1" customHeight="1">
      <c r="A37" s="1148"/>
      <c r="B37" s="1148"/>
      <c r="C37" s="1148"/>
      <c r="D37" s="1148"/>
      <c r="E37" s="1148"/>
      <c r="F37" s="1148"/>
      <c r="G37" s="1148"/>
      <c r="H37" s="1148"/>
      <c r="I37" s="1148"/>
      <c r="J37" s="1148"/>
      <c r="K37" s="1148"/>
      <c r="L37" s="1149"/>
      <c r="M37" s="1148"/>
      <c r="N37" s="1148"/>
      <c r="O37" s="1148"/>
      <c r="P37" s="1148"/>
      <c r="Q37" s="1148"/>
      <c r="S37" s="2101" t="s">
        <v>350</v>
      </c>
      <c r="T37" s="2101"/>
      <c r="U37" s="1152"/>
      <c r="V37" s="2103" t="e">
        <f>IF(TITLE_NUMBER_PR_CHANGE="",IF(TITLE_NUMBER_PR="","",TITLE_NUMBER_PR),TITLE_NUMBER_PR_CHANGE)</f>
        <v>#REF!</v>
      </c>
      <c r="W37" s="2103"/>
      <c r="X37" s="2103"/>
      <c r="Y37" s="2103"/>
      <c r="Z37" s="2103"/>
      <c r="AA37" s="2103"/>
      <c r="AB37" s="2103"/>
      <c r="AC37" s="209"/>
      <c r="AD37" s="2103" t="e">
        <f>IF(TITLE_NUMBER_PR_CHANGE="",IF(TITLE_NUMBER_PR="","",TITLE_NUMBER_PR),TITLE_NUMBER_PR_CHANGE)</f>
        <v>#REF!</v>
      </c>
      <c r="AE37" s="2103"/>
      <c r="AF37" s="2103"/>
      <c r="AG37" s="2103"/>
      <c r="AH37" s="2103"/>
      <c r="AI37" s="2103"/>
      <c r="AJ37" s="2103"/>
      <c r="AK37" s="2103"/>
      <c r="AL37" s="2103"/>
      <c r="AM37" s="2103"/>
      <c r="AN37" s="2103"/>
      <c r="AO37" s="2103"/>
      <c r="AP37" s="2103"/>
      <c r="AQ37" s="2103"/>
      <c r="AR37" s="2103"/>
      <c r="AS37" s="2103"/>
      <c r="AT37" s="2103"/>
      <c r="AU37" s="2103"/>
      <c r="AV37" s="2103"/>
      <c r="AW37" s="2103"/>
      <c r="AX37" s="2103"/>
      <c r="AY37" s="2103"/>
      <c r="AZ37" s="2103"/>
      <c r="BA37" s="209"/>
      <c r="BB37" s="209"/>
      <c r="BC37" s="157"/>
      <c r="BD37" s="252"/>
      <c r="BE37" s="252"/>
      <c r="BF37" s="252"/>
      <c r="BG37" s="252"/>
      <c r="BH37" s="252"/>
    </row>
    <row r="38" spans="1:60" s="1692" customFormat="1" ht="0" hidden="1" customHeight="1">
      <c r="A38" s="1148"/>
      <c r="B38" s="1148"/>
      <c r="C38" s="1148"/>
      <c r="D38" s="1148"/>
      <c r="E38" s="1148"/>
      <c r="F38" s="1148"/>
      <c r="G38" s="1148"/>
      <c r="H38" s="1148"/>
      <c r="I38" s="1148"/>
      <c r="J38" s="1148"/>
      <c r="K38" s="1148"/>
      <c r="L38" s="1149"/>
      <c r="M38" s="1148"/>
      <c r="N38" s="1148"/>
      <c r="O38" s="1148"/>
      <c r="P38" s="1148"/>
      <c r="Q38" s="1148"/>
      <c r="S38" s="205"/>
      <c r="T38" s="205"/>
      <c r="U38" s="1258"/>
      <c r="V38" s="209"/>
      <c r="W38" s="209"/>
      <c r="X38" s="209"/>
      <c r="Y38" s="209"/>
      <c r="Z38" s="209"/>
      <c r="AA38" s="209"/>
      <c r="AB38" s="209"/>
      <c r="AC38" s="155" t="s">
        <v>353</v>
      </c>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155" t="s">
        <v>353</v>
      </c>
      <c r="BD38" s="252"/>
      <c r="BE38" s="252"/>
      <c r="BF38" s="252"/>
      <c r="BG38" s="252"/>
      <c r="BH38" s="252"/>
    </row>
    <row r="39" spans="1:60" ht="14.25" customHeight="1">
      <c r="Q39" s="167"/>
      <c r="R39" s="261"/>
      <c r="S39" s="1059"/>
      <c r="T39" s="246"/>
      <c r="U39" s="1020"/>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r="40" spans="1:60" ht="14.25" customHeight="1">
      <c r="Q40" s="167"/>
      <c r="R40" s="261"/>
      <c r="S40" s="2025" t="s">
        <v>224</v>
      </c>
      <c r="T40" s="2025"/>
      <c r="U40" s="2025"/>
      <c r="V40" s="2025"/>
      <c r="W40" s="2025"/>
      <c r="X40" s="2025"/>
      <c r="Y40" s="2025"/>
      <c r="Z40" s="2025"/>
      <c r="AA40" s="2025"/>
      <c r="AB40" s="2025"/>
      <c r="AC40" s="2025"/>
      <c r="AD40" s="2025"/>
      <c r="AE40" s="2025"/>
      <c r="AF40" s="2025"/>
      <c r="AG40" s="2025"/>
      <c r="AH40" s="2025"/>
      <c r="AI40" s="2025"/>
      <c r="AJ40" s="2025"/>
      <c r="AK40" s="2025"/>
      <c r="AL40" s="2025"/>
      <c r="AM40" s="2025"/>
      <c r="AN40" s="2025"/>
      <c r="AO40" s="2025"/>
      <c r="AP40" s="2025"/>
      <c r="AQ40" s="2025"/>
      <c r="AR40" s="2025"/>
      <c r="AS40" s="2025"/>
      <c r="AT40" s="2025"/>
      <c r="AU40" s="2025"/>
      <c r="AV40" s="2025"/>
      <c r="AW40" s="2025"/>
      <c r="AX40" s="2025"/>
      <c r="AY40" s="2025"/>
      <c r="AZ40" s="2025"/>
      <c r="BA40" s="2025"/>
      <c r="BB40" s="2025"/>
      <c r="BC40" s="2025" t="s">
        <v>225</v>
      </c>
    </row>
    <row r="41" spans="1:60" ht="14.25" customHeight="1">
      <c r="Q41" s="167"/>
      <c r="R41" s="261"/>
      <c r="S41" s="2124" t="s">
        <v>22</v>
      </c>
      <c r="T41" s="2068" t="s">
        <v>431</v>
      </c>
      <c r="U41" s="176"/>
      <c r="V41" s="2125" t="s">
        <v>355</v>
      </c>
      <c r="W41" s="2126"/>
      <c r="X41" s="2126"/>
      <c r="Y41" s="2126"/>
      <c r="Z41" s="2126"/>
      <c r="AA41" s="2126"/>
      <c r="AB41" s="2127"/>
      <c r="AC41" s="2128" t="s">
        <v>356</v>
      </c>
      <c r="AD41" s="2150" t="s">
        <v>432</v>
      </c>
      <c r="AE41" s="2139"/>
      <c r="AF41" s="2139"/>
      <c r="AG41" s="2151"/>
      <c r="AH41" s="2150" t="s">
        <v>433</v>
      </c>
      <c r="AI41" s="2139"/>
      <c r="AJ41" s="2139"/>
      <c r="AK41" s="2151"/>
      <c r="AL41" s="2150" t="s">
        <v>434</v>
      </c>
      <c r="AM41" s="2139"/>
      <c r="AN41" s="2139"/>
      <c r="AO41" s="2151"/>
      <c r="AP41" s="2150" t="s">
        <v>435</v>
      </c>
      <c r="AQ41" s="2139"/>
      <c r="AR41" s="2139"/>
      <c r="AS41" s="2151"/>
      <c r="AT41" s="2125" t="s">
        <v>355</v>
      </c>
      <c r="AU41" s="2126"/>
      <c r="AV41" s="2126"/>
      <c r="AW41" s="2126"/>
      <c r="AX41" s="2126"/>
      <c r="AY41" s="2126"/>
      <c r="AZ41" s="2127"/>
      <c r="BA41" s="2128" t="s">
        <v>356</v>
      </c>
      <c r="BB41" s="2131" t="s">
        <v>358</v>
      </c>
      <c r="BC41" s="2025"/>
    </row>
    <row r="42" spans="1:60" ht="33.75" customHeight="1">
      <c r="Q42" s="167"/>
      <c r="R42" s="261"/>
      <c r="S42" s="2124"/>
      <c r="T42" s="2068"/>
      <c r="U42" s="814"/>
      <c r="V42" s="2037" t="s">
        <v>436</v>
      </c>
      <c r="W42" s="2038"/>
      <c r="X42" s="2037" t="s">
        <v>437</v>
      </c>
      <c r="Y42" s="2038"/>
      <c r="Z42" s="2037" t="s">
        <v>438</v>
      </c>
      <c r="AA42" s="2144"/>
      <c r="AB42" s="2038"/>
      <c r="AC42" s="2129"/>
      <c r="AD42" s="2152"/>
      <c r="AE42" s="2153"/>
      <c r="AF42" s="2153"/>
      <c r="AG42" s="2165"/>
      <c r="AH42" s="2152"/>
      <c r="AI42" s="2153"/>
      <c r="AJ42" s="2153"/>
      <c r="AK42" s="2165"/>
      <c r="AL42" s="2152"/>
      <c r="AM42" s="2153"/>
      <c r="AN42" s="2153"/>
      <c r="AO42" s="2165"/>
      <c r="AP42" s="2152"/>
      <c r="AQ42" s="2153"/>
      <c r="AR42" s="2153"/>
      <c r="AS42" s="2165"/>
      <c r="AT42" s="2037" t="s">
        <v>436</v>
      </c>
      <c r="AU42" s="2038"/>
      <c r="AV42" s="2037" t="s">
        <v>437</v>
      </c>
      <c r="AW42" s="2038"/>
      <c r="AX42" s="2037" t="s">
        <v>438</v>
      </c>
      <c r="AY42" s="2144"/>
      <c r="AZ42" s="2038"/>
      <c r="BA42" s="2129"/>
      <c r="BB42" s="2132"/>
      <c r="BC42" s="2025"/>
    </row>
    <row r="43" spans="1:60" ht="14.25" customHeight="1">
      <c r="Q43" s="167"/>
      <c r="R43" s="261"/>
      <c r="S43" s="2124"/>
      <c r="T43" s="2068"/>
      <c r="U43" s="814"/>
      <c r="V43" s="2042"/>
      <c r="W43" s="2043"/>
      <c r="X43" s="2042"/>
      <c r="Y43" s="2043"/>
      <c r="Z43" s="2042"/>
      <c r="AA43" s="2145"/>
      <c r="AB43" s="2043"/>
      <c r="AC43" s="2129"/>
      <c r="AD43" s="2152"/>
      <c r="AE43" s="2153"/>
      <c r="AF43" s="2153"/>
      <c r="AG43" s="2165"/>
      <c r="AH43" s="2152"/>
      <c r="AI43" s="2153"/>
      <c r="AJ43" s="2153"/>
      <c r="AK43" s="2165"/>
      <c r="AL43" s="2152"/>
      <c r="AM43" s="2153"/>
      <c r="AN43" s="2153"/>
      <c r="AO43" s="2165"/>
      <c r="AP43" s="2152"/>
      <c r="AQ43" s="2153"/>
      <c r="AR43" s="2153"/>
      <c r="AS43" s="2165"/>
      <c r="AT43" s="2042"/>
      <c r="AU43" s="2043"/>
      <c r="AV43" s="2042"/>
      <c r="AW43" s="2043"/>
      <c r="AX43" s="2042"/>
      <c r="AY43" s="2145"/>
      <c r="AZ43" s="2043"/>
      <c r="BA43" s="2129"/>
      <c r="BB43" s="2132"/>
      <c r="BC43" s="2025"/>
    </row>
    <row r="44" spans="1:60" ht="14.25" customHeight="1">
      <c r="A44" s="1150"/>
      <c r="B44" s="1150" t="s">
        <v>73</v>
      </c>
      <c r="C44" s="1150" t="s">
        <v>74</v>
      </c>
      <c r="D44" s="1150" t="s">
        <v>75</v>
      </c>
      <c r="E44" s="1144" t="s">
        <v>363</v>
      </c>
      <c r="F44" s="1144" t="s">
        <v>364</v>
      </c>
      <c r="G44" s="1144" t="s">
        <v>365</v>
      </c>
      <c r="H44" s="1144" t="s">
        <v>366</v>
      </c>
      <c r="I44" s="1144" t="s">
        <v>367</v>
      </c>
      <c r="J44" s="1144" t="s">
        <v>368</v>
      </c>
      <c r="K44" s="1144" t="s">
        <v>369</v>
      </c>
      <c r="L44" s="1144" t="s">
        <v>344</v>
      </c>
      <c r="Q44" s="167"/>
      <c r="R44" s="261"/>
      <c r="S44" s="2124"/>
      <c r="T44" s="2068"/>
      <c r="U44" s="177"/>
      <c r="V44" s="1249" t="s">
        <v>404</v>
      </c>
      <c r="W44" s="1249" t="s">
        <v>405</v>
      </c>
      <c r="X44" s="1249" t="s">
        <v>404</v>
      </c>
      <c r="Y44" s="1249" t="s">
        <v>405</v>
      </c>
      <c r="Z44" s="1259" t="s">
        <v>372</v>
      </c>
      <c r="AA44" s="2073" t="s">
        <v>373</v>
      </c>
      <c r="AB44" s="2087"/>
      <c r="AC44" s="2130"/>
      <c r="AD44" s="2154"/>
      <c r="AE44" s="2155"/>
      <c r="AF44" s="2155"/>
      <c r="AG44" s="2156"/>
      <c r="AH44" s="2154"/>
      <c r="AI44" s="2155"/>
      <c r="AJ44" s="2155"/>
      <c r="AK44" s="2156"/>
      <c r="AL44" s="2154"/>
      <c r="AM44" s="2155"/>
      <c r="AN44" s="2155"/>
      <c r="AO44" s="2156"/>
      <c r="AP44" s="2154"/>
      <c r="AQ44" s="2155"/>
      <c r="AR44" s="2155"/>
      <c r="AS44" s="2156"/>
      <c r="AT44" s="1249" t="s">
        <v>404</v>
      </c>
      <c r="AU44" s="1249" t="s">
        <v>405</v>
      </c>
      <c r="AV44" s="1249" t="s">
        <v>404</v>
      </c>
      <c r="AW44" s="1249" t="s">
        <v>405</v>
      </c>
      <c r="AX44" s="1259" t="s">
        <v>372</v>
      </c>
      <c r="AY44" s="2073" t="s">
        <v>373</v>
      </c>
      <c r="AZ44" s="2087"/>
      <c r="BA44" s="2130"/>
      <c r="BB44" s="2133"/>
      <c r="BC44" s="2025"/>
    </row>
    <row r="45" spans="1:60" s="1621" customFormat="1" ht="0" hidden="1" customHeight="1">
      <c r="A45" s="1150"/>
      <c r="B45" s="1150"/>
      <c r="C45" s="1150"/>
      <c r="D45" s="1150"/>
      <c r="E45" s="1150"/>
      <c r="F45" s="1150"/>
      <c r="G45" s="1150"/>
      <c r="H45" s="1150"/>
      <c r="I45" s="1150"/>
      <c r="J45" s="1150"/>
      <c r="K45" s="1150"/>
      <c r="L45" s="1144"/>
      <c r="M45" s="1142"/>
      <c r="N45" s="1142"/>
      <c r="O45" s="1142"/>
      <c r="P45" s="378"/>
      <c r="Q45" s="1038"/>
      <c r="R45" s="1038">
        <v>1</v>
      </c>
      <c r="S45" s="1061" t="s">
        <v>43</v>
      </c>
      <c r="T45" s="1039" t="s">
        <v>44</v>
      </c>
      <c r="U45" s="1021" t="str">
        <f ca="1">OFFSET(U45,0,-1)</f>
        <v>2</v>
      </c>
      <c r="V45" s="1252">
        <f t="shared" ref="V45:AA45" ca="1" si="2">OFFSET(V45,0,-1)+1</f>
        <v>3</v>
      </c>
      <c r="W45" s="1252">
        <f t="shared" ca="1" si="2"/>
        <v>4</v>
      </c>
      <c r="X45" s="1252">
        <f t="shared" ca="1" si="2"/>
        <v>5</v>
      </c>
      <c r="Y45" s="1252">
        <f t="shared" ca="1" si="2"/>
        <v>6</v>
      </c>
      <c r="Z45" s="1252">
        <f t="shared" ca="1" si="2"/>
        <v>7</v>
      </c>
      <c r="AA45" s="2122">
        <f t="shared" ca="1" si="2"/>
        <v>8</v>
      </c>
      <c r="AB45" s="2122"/>
      <c r="AC45" s="1252">
        <f ca="1">OFFSET(AC45,0,-2)+1</f>
        <v>9</v>
      </c>
      <c r="AD45" s="1252">
        <f ca="1">OFFSET(AD45,0,-1)+1</f>
        <v>10</v>
      </c>
      <c r="AE45" s="1252"/>
      <c r="AF45" s="1252"/>
      <c r="AG45" s="1252"/>
      <c r="AH45" s="1252"/>
      <c r="AI45" s="1252"/>
      <c r="AJ45" s="1252"/>
      <c r="AK45" s="1252"/>
      <c r="AL45" s="1252"/>
      <c r="AM45" s="1252"/>
      <c r="AN45" s="1252"/>
      <c r="AO45" s="1252"/>
      <c r="AP45" s="1252"/>
      <c r="AQ45" s="1252"/>
      <c r="AR45" s="1252"/>
      <c r="AS45" s="1252"/>
      <c r="AT45" s="1252"/>
      <c r="AU45" s="1252"/>
      <c r="AV45" s="1252"/>
      <c r="AW45" s="1252">
        <f ca="1">OFFSET(AW45,0,-1)+1</f>
        <v>1</v>
      </c>
      <c r="AX45" s="1252">
        <f ca="1">OFFSET(AX45,0,-1)+1</f>
        <v>2</v>
      </c>
      <c r="AY45" s="2122">
        <f ca="1">OFFSET(AY45,0,-1)+1</f>
        <v>3</v>
      </c>
      <c r="AZ45" s="2122"/>
      <c r="BA45" s="1252">
        <f ca="1">OFFSET(BA45,0,-2)+1</f>
        <v>4</v>
      </c>
      <c r="BB45" s="1021">
        <f ca="1">OFFSET(BB45,0,-1)</f>
        <v>4</v>
      </c>
      <c r="BC45" s="1252">
        <f ca="1">OFFSET(BC45,0,-1)+1</f>
        <v>5</v>
      </c>
      <c r="BD45" s="379"/>
      <c r="BE45" s="379"/>
      <c r="BF45" s="379"/>
      <c r="BG45" s="379"/>
      <c r="BH45" s="379"/>
    </row>
    <row r="46" spans="1:60" ht="21" customHeight="1">
      <c r="A46" s="1143" t="s">
        <v>185</v>
      </c>
      <c r="B46" s="1143"/>
      <c r="C46" s="1143"/>
      <c r="D46" s="1143"/>
      <c r="E46" s="2111">
        <v>1</v>
      </c>
      <c r="F46" s="1143"/>
      <c r="G46" s="1143"/>
      <c r="H46" s="1143"/>
      <c r="I46" s="1143"/>
      <c r="J46" s="1143"/>
      <c r="K46" s="1143"/>
      <c r="L46" s="1144"/>
      <c r="M46" s="1145"/>
      <c r="N46" s="1145"/>
      <c r="O46" s="1145"/>
      <c r="P46" s="1189"/>
      <c r="Q46" s="669"/>
      <c r="R46" s="236"/>
      <c r="S46" s="1263">
        <f>INDEX(PT_DIFFERENTIATION_NUM_NTAR,MATCH(A46,PT_DIFFERENTIATION_NTAR_ID,0))</f>
        <v>0</v>
      </c>
      <c r="T46" s="173" t="s">
        <v>61</v>
      </c>
      <c r="U46" s="175"/>
      <c r="V46" s="2105"/>
      <c r="W46" s="2105"/>
      <c r="X46" s="2105"/>
      <c r="Y46" s="2105"/>
      <c r="Z46" s="2105"/>
      <c r="AA46" s="2105"/>
      <c r="AB46" s="2105"/>
      <c r="AC46" s="2106"/>
      <c r="AD46" s="2104" t="str">
        <f>INDEX(PT_DIFFERENTIATION_NTAR,MATCH(A46,PT_DIFFERENTIATION_NTAR_ID,0))</f>
        <v/>
      </c>
      <c r="AE46" s="2105"/>
      <c r="AF46" s="2105"/>
      <c r="AG46" s="2105"/>
      <c r="AH46" s="2105"/>
      <c r="AI46" s="2105"/>
      <c r="AJ46" s="2105"/>
      <c r="AK46" s="2105"/>
      <c r="AL46" s="2105"/>
      <c r="AM46" s="2105"/>
      <c r="AN46" s="2105"/>
      <c r="AO46" s="2105"/>
      <c r="AP46" s="2105"/>
      <c r="AQ46" s="2105"/>
      <c r="AR46" s="2105"/>
      <c r="AS46" s="2105"/>
      <c r="AT46" s="2105"/>
      <c r="AU46" s="2105"/>
      <c r="AV46" s="2105"/>
      <c r="AW46" s="2105"/>
      <c r="AX46" s="2105"/>
      <c r="AY46" s="2105"/>
      <c r="AZ46" s="2105"/>
      <c r="BA46" s="2105"/>
      <c r="BB46" s="2106"/>
      <c r="BC46" s="10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68"/>
      <c r="BF46" s="368" t="str">
        <f t="shared" ref="BF46:BF52" si="3">IF(T46="","",T46)</f>
        <v>Наименование тарифа</v>
      </c>
      <c r="BG46" s="368"/>
      <c r="BH46" s="368"/>
    </row>
    <row r="47" spans="1:60" ht="21" customHeight="1">
      <c r="A47" s="1143" t="s">
        <v>185</v>
      </c>
      <c r="B47" s="1143" t="s">
        <v>186</v>
      </c>
      <c r="C47" s="1143"/>
      <c r="D47" s="1143"/>
      <c r="E47" s="2112"/>
      <c r="F47" s="2111">
        <v>1</v>
      </c>
      <c r="G47" s="1143"/>
      <c r="H47" s="1143"/>
      <c r="I47" s="1143"/>
      <c r="J47" s="1143"/>
      <c r="K47" s="1143"/>
      <c r="L47" s="1144"/>
      <c r="M47" s="1145"/>
      <c r="N47" s="1145"/>
      <c r="O47" s="1145"/>
      <c r="P47" s="1190"/>
      <c r="Q47" s="1191"/>
      <c r="R47" s="234"/>
      <c r="S47" s="1263" t="str">
        <f>INDEX(PT_DIFFERENTIATION_NUM_TER,MATCH(B47,PT_DIFFERENTIATION_TER_ID,0))</f>
        <v>.</v>
      </c>
      <c r="T47" s="185" t="s">
        <v>323</v>
      </c>
      <c r="U47" s="175"/>
      <c r="V47" s="2105"/>
      <c r="W47" s="2105"/>
      <c r="X47" s="2105"/>
      <c r="Y47" s="2105"/>
      <c r="Z47" s="2105"/>
      <c r="AA47" s="2105"/>
      <c r="AB47" s="2105"/>
      <c r="AC47" s="2106"/>
      <c r="AD47" s="2104" t="str">
        <f>INDEX(PT_DIFFERENTIATION_TER,MATCH(B47,PT_DIFFERENTIATION_TER_ID,0))</f>
        <v/>
      </c>
      <c r="AE47" s="2105"/>
      <c r="AF47" s="2105"/>
      <c r="AG47" s="2105"/>
      <c r="AH47" s="2105"/>
      <c r="AI47" s="2105"/>
      <c r="AJ47" s="2105"/>
      <c r="AK47" s="2105"/>
      <c r="AL47" s="2105"/>
      <c r="AM47" s="2105"/>
      <c r="AN47" s="2105"/>
      <c r="AO47" s="2105"/>
      <c r="AP47" s="2105"/>
      <c r="AQ47" s="2105"/>
      <c r="AR47" s="2105"/>
      <c r="AS47" s="2105"/>
      <c r="AT47" s="2105"/>
      <c r="AU47" s="2105"/>
      <c r="AV47" s="2105"/>
      <c r="AW47" s="2105"/>
      <c r="AX47" s="2105"/>
      <c r="AY47" s="2105"/>
      <c r="AZ47" s="2105"/>
      <c r="BA47" s="2105"/>
      <c r="BB47" s="2106"/>
      <c r="BC47" s="1044" t="s">
        <v>324</v>
      </c>
      <c r="BE47" s="368"/>
      <c r="BF47" s="368" t="str">
        <f t="shared" si="3"/>
        <v>Территория действия тарифа</v>
      </c>
      <c r="BG47" s="368"/>
      <c r="BH47" s="368"/>
    </row>
    <row r="48" spans="1:60" ht="33.75" customHeight="1">
      <c r="A48" s="1143" t="s">
        <v>185</v>
      </c>
      <c r="B48" s="1143" t="s">
        <v>186</v>
      </c>
      <c r="C48" s="1143" t="s">
        <v>187</v>
      </c>
      <c r="D48" s="1143"/>
      <c r="E48" s="2112"/>
      <c r="F48" s="2112"/>
      <c r="G48" s="2111">
        <v>1</v>
      </c>
      <c r="H48" s="1143"/>
      <c r="I48" s="1143"/>
      <c r="J48" s="1143"/>
      <c r="K48" s="1143"/>
      <c r="L48" s="1144"/>
      <c r="M48" s="1145"/>
      <c r="N48" s="1145"/>
      <c r="O48" s="1145"/>
      <c r="P48" s="1192"/>
      <c r="Q48" s="1191"/>
      <c r="R48" s="234"/>
      <c r="S48" s="1263" t="str">
        <f>INDEX(PT_DIFFERENTIATION_NUM_CS,MATCH(C48,PT_DIFFERENTIATION_CS_ID,0))</f>
        <v>..</v>
      </c>
      <c r="T48" s="186" t="s">
        <v>454</v>
      </c>
      <c r="U48" s="175"/>
      <c r="V48" s="2105"/>
      <c r="W48" s="2105"/>
      <c r="X48" s="2105"/>
      <c r="Y48" s="2105"/>
      <c r="Z48" s="2105"/>
      <c r="AA48" s="2105"/>
      <c r="AB48" s="2105"/>
      <c r="AC48" s="2106"/>
      <c r="AD48" s="2104" t="str">
        <f>INDEX(PT_DIFFERENTIATION_CS,MATCH(C48,PT_DIFFERENTIATION_CS_ID,0))</f>
        <v/>
      </c>
      <c r="AE48" s="2105"/>
      <c r="AF48" s="2105"/>
      <c r="AG48" s="2105"/>
      <c r="AH48" s="2105"/>
      <c r="AI48" s="2105"/>
      <c r="AJ48" s="2105"/>
      <c r="AK48" s="2105"/>
      <c r="AL48" s="2105"/>
      <c r="AM48" s="2105"/>
      <c r="AN48" s="2105"/>
      <c r="AO48" s="2105"/>
      <c r="AP48" s="2105"/>
      <c r="AQ48" s="2105"/>
      <c r="AR48" s="2105"/>
      <c r="AS48" s="2105"/>
      <c r="AT48" s="2105"/>
      <c r="AU48" s="2105"/>
      <c r="AV48" s="2105"/>
      <c r="AW48" s="2105"/>
      <c r="AX48" s="2105"/>
      <c r="AY48" s="2105"/>
      <c r="AZ48" s="2105"/>
      <c r="BA48" s="2105"/>
      <c r="BB48" s="2106"/>
      <c r="BC48" s="1044" t="s">
        <v>455</v>
      </c>
      <c r="BE48" s="368"/>
      <c r="BF48" s="368" t="str">
        <f t="shared" si="3"/>
        <v>Наименование централизованной системы горячего водоснабжения</v>
      </c>
      <c r="BG48" s="368"/>
      <c r="BH48" s="368"/>
    </row>
    <row r="49" spans="1:60" s="1622" customFormat="1" ht="0" hidden="1" customHeight="1">
      <c r="A49" s="1124" t="s">
        <v>185</v>
      </c>
      <c r="B49" s="1124" t="s">
        <v>186</v>
      </c>
      <c r="C49" s="1124" t="s">
        <v>187</v>
      </c>
      <c r="D49" s="1124" t="s">
        <v>462</v>
      </c>
      <c r="E49" s="2112"/>
      <c r="F49" s="2112"/>
      <c r="G49" s="2112"/>
      <c r="H49" s="2111">
        <v>1</v>
      </c>
      <c r="I49" s="1124"/>
      <c r="J49" s="1124"/>
      <c r="K49" s="1124"/>
      <c r="L49" s="1127"/>
      <c r="M49" s="1097"/>
      <c r="N49" s="1097"/>
      <c r="O49" s="1097"/>
      <c r="P49" s="1267"/>
      <c r="Q49" s="1268"/>
      <c r="R49" s="238"/>
      <c r="S49" s="825"/>
      <c r="T49" s="1269"/>
      <c r="U49" s="1164"/>
      <c r="V49" s="2141"/>
      <c r="W49" s="2141"/>
      <c r="X49" s="2141"/>
      <c r="Y49" s="2141"/>
      <c r="Z49" s="2141"/>
      <c r="AA49" s="2141"/>
      <c r="AB49" s="2141"/>
      <c r="AC49" s="2142"/>
      <c r="AD49" s="2140"/>
      <c r="AE49" s="2141"/>
      <c r="AF49" s="2141"/>
      <c r="AG49" s="2141"/>
      <c r="AH49" s="2141"/>
      <c r="AI49" s="2141"/>
      <c r="AJ49" s="2141"/>
      <c r="AK49" s="2141"/>
      <c r="AL49" s="2141"/>
      <c r="AM49" s="2141"/>
      <c r="AN49" s="2141"/>
      <c r="AO49" s="2141"/>
      <c r="AP49" s="2141"/>
      <c r="AQ49" s="2141"/>
      <c r="AR49" s="2141"/>
      <c r="AS49" s="2141"/>
      <c r="AT49" s="2141"/>
      <c r="AU49" s="2141"/>
      <c r="AV49" s="2141"/>
      <c r="AW49" s="2141"/>
      <c r="AX49" s="2141"/>
      <c r="AY49" s="2141"/>
      <c r="AZ49" s="2141"/>
      <c r="BA49" s="2141"/>
      <c r="BB49" s="2142"/>
      <c r="BC49" s="1165" t="s">
        <v>328</v>
      </c>
      <c r="BE49" s="368"/>
      <c r="BF49" s="368" t="str">
        <f t="shared" si="3"/>
        <v/>
      </c>
      <c r="BG49" s="368"/>
      <c r="BH49" s="368"/>
    </row>
    <row r="50" spans="1:60" s="1622" customFormat="1" ht="0" hidden="1" customHeight="1">
      <c r="A50" s="1124" t="s">
        <v>185</v>
      </c>
      <c r="B50" s="1124" t="s">
        <v>186</v>
      </c>
      <c r="C50" s="1124" t="s">
        <v>187</v>
      </c>
      <c r="D50" s="1124" t="s">
        <v>462</v>
      </c>
      <c r="E50" s="2112"/>
      <c r="F50" s="2112"/>
      <c r="G50" s="2112"/>
      <c r="H50" s="2112"/>
      <c r="I50" s="2113" t="str">
        <f>S49&amp;".1"</f>
        <v>.1</v>
      </c>
      <c r="J50" s="1124"/>
      <c r="K50" s="1124"/>
      <c r="L50" s="1127" t="s">
        <v>329</v>
      </c>
      <c r="M50" s="378"/>
      <c r="N50" s="378"/>
      <c r="O50" s="378"/>
      <c r="P50" s="2115">
        <v>1</v>
      </c>
      <c r="Q50" s="1251"/>
      <c r="R50" s="237"/>
      <c r="S50" s="825"/>
      <c r="T50" s="1163"/>
      <c r="U50" s="1164"/>
      <c r="V50" s="2141"/>
      <c r="W50" s="2141"/>
      <c r="X50" s="2141"/>
      <c r="Y50" s="2141"/>
      <c r="Z50" s="2141"/>
      <c r="AA50" s="2141"/>
      <c r="AB50" s="2141"/>
      <c r="AC50" s="2142"/>
      <c r="AD50" s="2140"/>
      <c r="AE50" s="2141"/>
      <c r="AF50" s="2141"/>
      <c r="AG50" s="2141"/>
      <c r="AH50" s="2141"/>
      <c r="AI50" s="2141"/>
      <c r="AJ50" s="2141"/>
      <c r="AK50" s="2141"/>
      <c r="AL50" s="2141"/>
      <c r="AM50" s="2141"/>
      <c r="AN50" s="2141"/>
      <c r="AO50" s="2141"/>
      <c r="AP50" s="2141"/>
      <c r="AQ50" s="2141"/>
      <c r="AR50" s="2141"/>
      <c r="AS50" s="2141"/>
      <c r="AT50" s="2141"/>
      <c r="AU50" s="2141"/>
      <c r="AV50" s="2141"/>
      <c r="AW50" s="2141"/>
      <c r="AX50" s="2141"/>
      <c r="AY50" s="2141"/>
      <c r="AZ50" s="2141"/>
      <c r="BA50" s="2141"/>
      <c r="BB50" s="2142"/>
      <c r="BC50" s="1165"/>
      <c r="BE50" s="368"/>
      <c r="BF50" s="368" t="str">
        <f t="shared" si="3"/>
        <v/>
      </c>
      <c r="BG50" s="368"/>
      <c r="BH50" s="368"/>
    </row>
    <row r="51" spans="1:60" s="1622" customFormat="1" ht="0" hidden="1" customHeight="1">
      <c r="A51" s="1124" t="s">
        <v>185</v>
      </c>
      <c r="B51" s="1124" t="s">
        <v>186</v>
      </c>
      <c r="C51" s="1124" t="s">
        <v>187</v>
      </c>
      <c r="D51" s="1124" t="s">
        <v>462</v>
      </c>
      <c r="E51" s="2112"/>
      <c r="F51" s="2112"/>
      <c r="G51" s="2112"/>
      <c r="H51" s="2112"/>
      <c r="I51" s="2114"/>
      <c r="J51" s="2113" t="str">
        <f>S49&amp;".1"</f>
        <v>.1</v>
      </c>
      <c r="K51" s="1124"/>
      <c r="L51" s="1127"/>
      <c r="M51" s="378"/>
      <c r="N51" s="378"/>
      <c r="O51" s="378"/>
      <c r="P51" s="2115"/>
      <c r="Q51" s="2115">
        <v>1</v>
      </c>
      <c r="R51" s="238"/>
      <c r="S51" s="825"/>
      <c r="T51" s="1179"/>
      <c r="U51" s="1164"/>
      <c r="V51" s="2141"/>
      <c r="W51" s="2141"/>
      <c r="X51" s="2141"/>
      <c r="Y51" s="2141"/>
      <c r="Z51" s="2141"/>
      <c r="AA51" s="2141"/>
      <c r="AB51" s="2141"/>
      <c r="AC51" s="2142"/>
      <c r="AD51" s="2140"/>
      <c r="AE51" s="2141"/>
      <c r="AF51" s="2141"/>
      <c r="AG51" s="2141"/>
      <c r="AH51" s="2141"/>
      <c r="AI51" s="2141"/>
      <c r="AJ51" s="2141"/>
      <c r="AK51" s="2141"/>
      <c r="AL51" s="2141"/>
      <c r="AM51" s="2141"/>
      <c r="AN51" s="2186"/>
      <c r="AO51" s="2186"/>
      <c r="AP51" s="2141"/>
      <c r="AQ51" s="2141"/>
      <c r="AR51" s="2141"/>
      <c r="AS51" s="2141"/>
      <c r="AT51" s="2141"/>
      <c r="AU51" s="2141"/>
      <c r="AV51" s="2141"/>
      <c r="AW51" s="2141"/>
      <c r="AX51" s="2141"/>
      <c r="AY51" s="2141"/>
      <c r="AZ51" s="2141"/>
      <c r="BA51" s="2141"/>
      <c r="BB51" s="2142"/>
      <c r="BC51" s="1165"/>
      <c r="BE51" s="368"/>
      <c r="BF51" s="368" t="str">
        <f t="shared" si="3"/>
        <v/>
      </c>
      <c r="BG51" s="368"/>
      <c r="BH51" s="368"/>
    </row>
    <row r="52" spans="1:60" ht="11.25" customHeight="1">
      <c r="A52" s="1143" t="s">
        <v>185</v>
      </c>
      <c r="B52" s="1143" t="s">
        <v>186</v>
      </c>
      <c r="C52" s="1143" t="s">
        <v>187</v>
      </c>
      <c r="D52" s="1143" t="s">
        <v>462</v>
      </c>
      <c r="E52" s="2112"/>
      <c r="F52" s="2112"/>
      <c r="G52" s="2112"/>
      <c r="H52" s="2112"/>
      <c r="I52" s="2114"/>
      <c r="J52" s="2114"/>
      <c r="K52" s="2113" t="str">
        <f>S48&amp;".1"</f>
        <v>...1</v>
      </c>
      <c r="L52" s="1144"/>
      <c r="P52" s="2115"/>
      <c r="Q52" s="2115"/>
      <c r="R52" s="238">
        <v>1</v>
      </c>
      <c r="S52" s="2161" t="str">
        <f>$K52</f>
        <v>...1</v>
      </c>
      <c r="T52" s="2180"/>
      <c r="U52" s="175"/>
      <c r="V52" s="576"/>
      <c r="W52" s="1043"/>
      <c r="X52" s="576"/>
      <c r="Y52" s="1043"/>
      <c r="Z52" s="1474"/>
      <c r="AA52" s="1240" t="s">
        <v>16</v>
      </c>
      <c r="AB52" s="1474"/>
      <c r="AC52" s="1240" t="s">
        <v>16</v>
      </c>
      <c r="AD52" s="2049" t="s">
        <v>16</v>
      </c>
      <c r="AE52" s="2157"/>
      <c r="AF52" s="2063">
        <v>1</v>
      </c>
      <c r="AG52" s="2179"/>
      <c r="AH52" s="2109" t="s">
        <v>16</v>
      </c>
      <c r="AI52" s="2157"/>
      <c r="AJ52" s="2063">
        <v>1</v>
      </c>
      <c r="AK52" s="2178" t="s">
        <v>1</v>
      </c>
      <c r="AL52" s="2109" t="s">
        <v>16</v>
      </c>
      <c r="AM52" s="2037"/>
      <c r="AN52" s="2063">
        <v>1</v>
      </c>
      <c r="AO52" s="2183"/>
      <c r="AP52" s="2184" t="s">
        <v>16</v>
      </c>
      <c r="AQ52" s="188"/>
      <c r="AR52" s="1256">
        <v>1</v>
      </c>
      <c r="AS52" s="1262" t="s">
        <v>1</v>
      </c>
      <c r="AT52" s="576"/>
      <c r="AU52" s="1043"/>
      <c r="AV52" s="576"/>
      <c r="AW52" s="1043"/>
      <c r="AX52" s="1474"/>
      <c r="AY52" s="1240" t="s">
        <v>16</v>
      </c>
      <c r="AZ52" s="1474"/>
      <c r="BA52" s="1240" t="s">
        <v>16</v>
      </c>
      <c r="BB52" s="1129"/>
      <c r="BC52" s="2134" t="s">
        <v>425</v>
      </c>
      <c r="BE52" s="368"/>
      <c r="BF52" s="368" t="str">
        <f t="shared" si="3"/>
        <v/>
      </c>
      <c r="BG52" s="368"/>
      <c r="BH52" s="368"/>
    </row>
    <row r="53" spans="1:60" ht="11.25" customHeight="1">
      <c r="A53" s="1143"/>
      <c r="B53" s="1143"/>
      <c r="C53" s="1143"/>
      <c r="D53" s="1143"/>
      <c r="E53" s="2112"/>
      <c r="F53" s="2112"/>
      <c r="G53" s="2112"/>
      <c r="H53" s="2112"/>
      <c r="I53" s="2114"/>
      <c r="J53" s="2114"/>
      <c r="K53" s="2113"/>
      <c r="L53" s="1144"/>
      <c r="P53" s="2115"/>
      <c r="Q53" s="2115"/>
      <c r="R53" s="238"/>
      <c r="S53" s="2162"/>
      <c r="T53" s="2181"/>
      <c r="U53" s="175"/>
      <c r="V53" s="1173"/>
      <c r="W53" s="1266"/>
      <c r="X53" s="1173"/>
      <c r="Y53" s="1266"/>
      <c r="Z53" s="1173"/>
      <c r="AA53" s="1173"/>
      <c r="AB53" s="1173"/>
      <c r="AC53" s="1173"/>
      <c r="AD53" s="2050"/>
      <c r="AE53" s="2157"/>
      <c r="AF53" s="2063"/>
      <c r="AG53" s="2179"/>
      <c r="AH53" s="2109"/>
      <c r="AI53" s="2157"/>
      <c r="AJ53" s="2063"/>
      <c r="AK53" s="2178"/>
      <c r="AL53" s="2109"/>
      <c r="AM53" s="2042"/>
      <c r="AN53" s="2063"/>
      <c r="AO53" s="2183"/>
      <c r="AP53" s="2185"/>
      <c r="AQ53" s="195"/>
      <c r="AR53" s="296"/>
      <c r="AS53" s="296" t="s">
        <v>426</v>
      </c>
      <c r="AT53" s="1173"/>
      <c r="AU53" s="1266"/>
      <c r="AV53" s="1173"/>
      <c r="AW53" s="1266"/>
      <c r="AX53" s="1173"/>
      <c r="AY53" s="1173"/>
      <c r="AZ53" s="1173"/>
      <c r="BA53" s="1173"/>
      <c r="BB53" s="1177"/>
      <c r="BC53" s="2135"/>
      <c r="BE53" s="368"/>
      <c r="BF53" s="368"/>
      <c r="BG53" s="368"/>
      <c r="BH53" s="368"/>
    </row>
    <row r="54" spans="1:60" ht="11.25" customHeight="1">
      <c r="A54" s="1143" t="s">
        <v>185</v>
      </c>
      <c r="B54" s="1143"/>
      <c r="C54" s="1143"/>
      <c r="D54" s="1143"/>
      <c r="E54" s="2112"/>
      <c r="F54" s="2112"/>
      <c r="G54" s="2112"/>
      <c r="H54" s="2112"/>
      <c r="I54" s="2114"/>
      <c r="J54" s="2114"/>
      <c r="K54" s="2113"/>
      <c r="L54" s="1144"/>
      <c r="P54" s="2115"/>
      <c r="Q54" s="2115"/>
      <c r="R54" s="238"/>
      <c r="S54" s="2162"/>
      <c r="T54" s="2181"/>
      <c r="U54" s="175"/>
      <c r="V54" s="1173"/>
      <c r="W54" s="1266"/>
      <c r="X54" s="1173"/>
      <c r="Y54" s="1266"/>
      <c r="Z54" s="1173"/>
      <c r="AA54" s="1173"/>
      <c r="AB54" s="1173"/>
      <c r="AC54" s="1173"/>
      <c r="AD54" s="2050"/>
      <c r="AE54" s="2157"/>
      <c r="AF54" s="2063"/>
      <c r="AG54" s="2179"/>
      <c r="AH54" s="2109"/>
      <c r="AI54" s="2157"/>
      <c r="AJ54" s="2063"/>
      <c r="AK54" s="2178"/>
      <c r="AL54" s="2109"/>
      <c r="AM54" s="195"/>
      <c r="AN54" s="1270"/>
      <c r="AO54" s="1270" t="s">
        <v>427</v>
      </c>
      <c r="AP54" s="296"/>
      <c r="AQ54" s="296"/>
      <c r="AR54" s="296"/>
      <c r="AS54" s="1173"/>
      <c r="AT54" s="1173"/>
      <c r="AU54" s="1266"/>
      <c r="AV54" s="1173"/>
      <c r="AW54" s="1266"/>
      <c r="AX54" s="1173"/>
      <c r="AY54" s="1173"/>
      <c r="AZ54" s="1173"/>
      <c r="BA54" s="1173"/>
      <c r="BB54" s="1177"/>
      <c r="BC54" s="2135"/>
      <c r="BE54" s="368"/>
      <c r="BF54" s="368"/>
      <c r="BG54" s="368"/>
      <c r="BH54" s="368"/>
    </row>
    <row r="55" spans="1:60" ht="11.25" customHeight="1">
      <c r="A55" s="1143" t="s">
        <v>185</v>
      </c>
      <c r="B55" s="1143"/>
      <c r="C55" s="1143"/>
      <c r="D55" s="1143"/>
      <c r="E55" s="2112"/>
      <c r="F55" s="2112"/>
      <c r="G55" s="2112"/>
      <c r="H55" s="2112"/>
      <c r="I55" s="2114"/>
      <c r="J55" s="2114"/>
      <c r="K55" s="2113"/>
      <c r="L55" s="1144"/>
      <c r="P55" s="2115"/>
      <c r="Q55" s="2115"/>
      <c r="R55" s="238"/>
      <c r="S55" s="2162"/>
      <c r="T55" s="2181"/>
      <c r="U55" s="175"/>
      <c r="V55" s="1173"/>
      <c r="W55" s="1266"/>
      <c r="X55" s="1173"/>
      <c r="Y55" s="1266"/>
      <c r="Z55" s="1173"/>
      <c r="AA55" s="1173"/>
      <c r="AB55" s="1173"/>
      <c r="AC55" s="1173"/>
      <c r="AD55" s="2050"/>
      <c r="AE55" s="2157"/>
      <c r="AF55" s="2063"/>
      <c r="AG55" s="2179"/>
      <c r="AH55" s="2109"/>
      <c r="AI55" s="169"/>
      <c r="AJ55" s="295"/>
      <c r="AK55" s="190" t="s">
        <v>428</v>
      </c>
      <c r="AL55" s="1173"/>
      <c r="AM55" s="1173"/>
      <c r="AN55" s="1173"/>
      <c r="AO55" s="1173"/>
      <c r="AP55" s="1173"/>
      <c r="AQ55" s="1173"/>
      <c r="AR55" s="1173"/>
      <c r="AS55" s="1173"/>
      <c r="AT55" s="1173"/>
      <c r="AU55" s="1266"/>
      <c r="AV55" s="1173"/>
      <c r="AW55" s="1266"/>
      <c r="AX55" s="1173"/>
      <c r="AY55" s="1173"/>
      <c r="AZ55" s="1173"/>
      <c r="BA55" s="1173"/>
      <c r="BB55" s="1177"/>
      <c r="BC55" s="2135"/>
      <c r="BE55" s="368"/>
      <c r="BF55" s="368"/>
      <c r="BG55" s="368"/>
      <c r="BH55" s="368"/>
    </row>
    <row r="56" spans="1:60" ht="11.25" customHeight="1">
      <c r="A56" s="1143" t="s">
        <v>185</v>
      </c>
      <c r="B56" s="1143" t="s">
        <v>186</v>
      </c>
      <c r="C56" s="1143" t="s">
        <v>187</v>
      </c>
      <c r="D56" s="1143" t="s">
        <v>462</v>
      </c>
      <c r="E56" s="2112"/>
      <c r="F56" s="2112"/>
      <c r="G56" s="2112"/>
      <c r="H56" s="2112"/>
      <c r="I56" s="2114"/>
      <c r="J56" s="2114"/>
      <c r="K56" s="2113"/>
      <c r="L56" s="1144"/>
      <c r="P56" s="2115"/>
      <c r="Q56" s="2115"/>
      <c r="R56" s="238"/>
      <c r="S56" s="2163"/>
      <c r="T56" s="2182"/>
      <c r="U56" s="175"/>
      <c r="V56" s="1173"/>
      <c r="W56" s="1174" t="str">
        <f>Z52&amp;"-"&amp;AB52</f>
        <v>-</v>
      </c>
      <c r="X56" s="1173"/>
      <c r="Y56" s="1174" t="str">
        <f>AB52&amp;"-"&amp;AD52</f>
        <v>-да</v>
      </c>
      <c r="Z56" s="1173"/>
      <c r="AA56" s="1173"/>
      <c r="AB56" s="1173"/>
      <c r="AC56" s="1173"/>
      <c r="AD56" s="2051"/>
      <c r="AE56" s="189"/>
      <c r="AF56" s="191"/>
      <c r="AG56" s="296" t="s">
        <v>429</v>
      </c>
      <c r="AH56" s="1173"/>
      <c r="AI56" s="1173"/>
      <c r="AJ56" s="1173"/>
      <c r="AK56" s="1173"/>
      <c r="AL56" s="1173"/>
      <c r="AM56" s="1173"/>
      <c r="AN56" s="1173"/>
      <c r="AO56" s="1173"/>
      <c r="AP56" s="1173"/>
      <c r="AQ56" s="1173"/>
      <c r="AR56" s="1173"/>
      <c r="AS56" s="1173"/>
      <c r="AT56" s="1173"/>
      <c r="AU56" s="1174" t="str">
        <f>AX52&amp;"-"&amp;AZ52</f>
        <v>-</v>
      </c>
      <c r="AV56" s="1173"/>
      <c r="AW56" s="1174" t="str">
        <f>AZ52&amp;"-"&amp;BB52</f>
        <v>-</v>
      </c>
      <c r="AX56" s="1173"/>
      <c r="AY56" s="1173"/>
      <c r="AZ56" s="1173"/>
      <c r="BA56" s="1173"/>
      <c r="BB56" s="1176" t="str">
        <f>BE52&amp;"-"&amp;BG52</f>
        <v>-</v>
      </c>
      <c r="BC56" s="2135"/>
      <c r="BE56" s="368"/>
      <c r="BF56" s="368" t="str">
        <f t="shared" ref="BF56:BF63" si="4">IF(T56="","",T56)</f>
        <v/>
      </c>
      <c r="BG56" s="368"/>
      <c r="BH56" s="368"/>
    </row>
    <row r="57" spans="1:60" ht="11.25" customHeight="1">
      <c r="A57" s="1143" t="s">
        <v>185</v>
      </c>
      <c r="B57" s="1143" t="s">
        <v>186</v>
      </c>
      <c r="C57" s="1143" t="s">
        <v>187</v>
      </c>
      <c r="D57" s="1143" t="s">
        <v>462</v>
      </c>
      <c r="E57" s="2112"/>
      <c r="F57" s="2112"/>
      <c r="G57" s="2112"/>
      <c r="H57" s="2112"/>
      <c r="I57" s="2114"/>
      <c r="J57" s="2113"/>
      <c r="K57" s="1143"/>
      <c r="L57" s="1144"/>
      <c r="P57" s="2115"/>
      <c r="Q57" s="2115"/>
      <c r="R57" s="237"/>
      <c r="S57" s="1062"/>
      <c r="T57" s="163" t="s">
        <v>393</v>
      </c>
      <c r="U57" s="251"/>
      <c r="V57" s="251"/>
      <c r="W57" s="251"/>
      <c r="X57" s="251"/>
      <c r="Y57" s="251"/>
      <c r="Z57" s="251"/>
      <c r="AA57" s="251"/>
      <c r="AB57" s="251"/>
      <c r="AC57" s="206"/>
      <c r="AD57" s="1275"/>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06"/>
      <c r="BC57" s="2136"/>
      <c r="BE57" s="368"/>
      <c r="BF57" s="368" t="str">
        <f t="shared" si="4"/>
        <v>Добавить строку</v>
      </c>
      <c r="BG57" s="368"/>
      <c r="BH57" s="368"/>
    </row>
    <row r="58" spans="1:60" s="1622" customFormat="1" ht="0" hidden="1" customHeight="1">
      <c r="A58" s="1124" t="s">
        <v>185</v>
      </c>
      <c r="B58" s="1124" t="s">
        <v>186</v>
      </c>
      <c r="C58" s="1124" t="s">
        <v>187</v>
      </c>
      <c r="D58" s="1124" t="s">
        <v>462</v>
      </c>
      <c r="E58" s="2112"/>
      <c r="F58" s="2112"/>
      <c r="G58" s="2112"/>
      <c r="H58" s="2112"/>
      <c r="I58" s="2113"/>
      <c r="J58" s="1124"/>
      <c r="K58" s="1124"/>
      <c r="L58" s="1127"/>
      <c r="M58" s="378"/>
      <c r="N58" s="378"/>
      <c r="O58" s="378"/>
      <c r="P58" s="2115"/>
      <c r="Q58" s="1251"/>
      <c r="R58" s="237"/>
      <c r="S58" s="1166"/>
      <c r="T58" s="1167"/>
      <c r="U58" s="1168"/>
      <c r="V58" s="1168"/>
      <c r="W58" s="1168"/>
      <c r="X58" s="1168"/>
      <c r="Y58" s="1168"/>
      <c r="Z58" s="1168"/>
      <c r="AA58" s="1168"/>
      <c r="AB58" s="1168"/>
      <c r="AC58" s="1168"/>
      <c r="AD58" s="1168"/>
      <c r="AE58" s="1168"/>
      <c r="AF58" s="1168"/>
      <c r="AG58" s="1168"/>
      <c r="AH58" s="1168"/>
      <c r="AI58" s="1168"/>
      <c r="AJ58" s="1168"/>
      <c r="AK58" s="1168"/>
      <c r="AL58" s="1168"/>
      <c r="AM58" s="1168"/>
      <c r="AN58" s="1168"/>
      <c r="AO58" s="1168"/>
      <c r="AP58" s="1168"/>
      <c r="AQ58" s="1168"/>
      <c r="AR58" s="1168"/>
      <c r="AS58" s="1168"/>
      <c r="AT58" s="1168"/>
      <c r="AU58" s="1168"/>
      <c r="AV58" s="1168"/>
      <c r="AW58" s="1168"/>
      <c r="AX58" s="1168"/>
      <c r="AY58" s="1168"/>
      <c r="AZ58" s="1168"/>
      <c r="BA58" s="1168"/>
      <c r="BB58" s="1168"/>
      <c r="BC58" s="1169"/>
      <c r="BE58" s="368"/>
      <c r="BF58" s="368" t="str">
        <f t="shared" si="4"/>
        <v/>
      </c>
      <c r="BG58" s="368"/>
      <c r="BH58" s="368"/>
    </row>
    <row r="59" spans="1:60" s="1622" customFormat="1" ht="0" hidden="1" customHeight="1">
      <c r="A59" s="1124" t="s">
        <v>185</v>
      </c>
      <c r="B59" s="1124" t="s">
        <v>186</v>
      </c>
      <c r="C59" s="1124" t="s">
        <v>187</v>
      </c>
      <c r="D59" s="1124" t="s">
        <v>462</v>
      </c>
      <c r="E59" s="2112"/>
      <c r="F59" s="2112"/>
      <c r="G59" s="2112"/>
      <c r="H59" s="2111"/>
      <c r="I59" s="1124"/>
      <c r="J59" s="1124"/>
      <c r="K59" s="1124"/>
      <c r="L59" s="1127"/>
      <c r="M59" s="1097"/>
      <c r="N59" s="1097"/>
      <c r="O59" s="386"/>
      <c r="P59" s="269"/>
      <c r="Q59" s="1125"/>
      <c r="R59" s="1181"/>
      <c r="S59" s="1166"/>
      <c r="T59" s="1167"/>
      <c r="U59" s="1168"/>
      <c r="V59" s="1168"/>
      <c r="W59" s="1168"/>
      <c r="X59" s="1168"/>
      <c r="Y59" s="1168"/>
      <c r="Z59" s="1168"/>
      <c r="AA59" s="1168"/>
      <c r="AB59" s="1168"/>
      <c r="AC59" s="1168"/>
      <c r="AD59" s="1168"/>
      <c r="AE59" s="1168"/>
      <c r="AF59" s="1168"/>
      <c r="AG59" s="1168"/>
      <c r="AH59" s="1168"/>
      <c r="AI59" s="1168"/>
      <c r="AJ59" s="1168"/>
      <c r="AK59" s="1168"/>
      <c r="AL59" s="1168"/>
      <c r="AM59" s="1168"/>
      <c r="AN59" s="1168"/>
      <c r="AO59" s="1168"/>
      <c r="AP59" s="1168"/>
      <c r="AQ59" s="1168"/>
      <c r="AR59" s="1168"/>
      <c r="AS59" s="1168"/>
      <c r="AT59" s="1168"/>
      <c r="AU59" s="1168"/>
      <c r="AV59" s="1168"/>
      <c r="AW59" s="1168"/>
      <c r="AX59" s="1168"/>
      <c r="AY59" s="1168"/>
      <c r="AZ59" s="1168"/>
      <c r="BA59" s="1168"/>
      <c r="BB59" s="1168"/>
      <c r="BC59" s="1169"/>
      <c r="BE59" s="368"/>
      <c r="BF59" s="368" t="str">
        <f t="shared" si="4"/>
        <v/>
      </c>
      <c r="BG59" s="368"/>
      <c r="BH59" s="368"/>
    </row>
    <row r="60" spans="1:60" s="1686" customFormat="1" ht="0" hidden="1" customHeight="1">
      <c r="A60" s="1124" t="s">
        <v>185</v>
      </c>
      <c r="B60" s="1124" t="s">
        <v>186</v>
      </c>
      <c r="C60" s="1124" t="s">
        <v>187</v>
      </c>
      <c r="D60" s="1096"/>
      <c r="E60" s="2112"/>
      <c r="F60" s="2112"/>
      <c r="G60" s="2111"/>
      <c r="H60" s="1096"/>
      <c r="I60" s="1096"/>
      <c r="J60" s="1096"/>
      <c r="K60" s="1096"/>
      <c r="L60" s="1264"/>
      <c r="M60" s="1097"/>
      <c r="N60" s="1097"/>
      <c r="P60" s="1098"/>
      <c r="Q60" s="1099"/>
      <c r="R60" s="1098"/>
      <c r="S60" s="1104"/>
      <c r="T60" s="1107"/>
      <c r="U60" s="1106"/>
      <c r="V60" s="1106"/>
      <c r="W60" s="1106"/>
      <c r="X60" s="1106"/>
      <c r="Y60" s="1106"/>
      <c r="Z60" s="1106"/>
      <c r="AA60" s="1106"/>
      <c r="AB60" s="1106"/>
      <c r="AC60" s="1106"/>
      <c r="AD60" s="1106"/>
      <c r="AE60" s="1106"/>
      <c r="AF60" s="1106"/>
      <c r="AG60" s="1106"/>
      <c r="AH60" s="1106"/>
      <c r="AI60" s="1106"/>
      <c r="AJ60" s="1106"/>
      <c r="AK60" s="1106"/>
      <c r="AL60" s="1106"/>
      <c r="AM60" s="1106"/>
      <c r="AN60" s="1106"/>
      <c r="AO60" s="1106"/>
      <c r="AP60" s="1106"/>
      <c r="AQ60" s="1106"/>
      <c r="AR60" s="1106"/>
      <c r="AS60" s="1106"/>
      <c r="AT60" s="1106"/>
      <c r="AU60" s="1106"/>
      <c r="AV60" s="1106"/>
      <c r="AW60" s="1106"/>
      <c r="AX60" s="1106"/>
      <c r="AY60" s="1106"/>
      <c r="AZ60" s="1106"/>
      <c r="BA60" s="1106"/>
      <c r="BB60" s="1106"/>
      <c r="BC60" s="1106"/>
      <c r="BE60" s="598"/>
      <c r="BF60" s="598" t="str">
        <f t="shared" si="4"/>
        <v/>
      </c>
      <c r="BG60" s="598"/>
      <c r="BH60" s="598"/>
    </row>
    <row r="61" spans="1:60" s="1686" customFormat="1" ht="0" hidden="1" customHeight="1">
      <c r="A61" s="1124" t="s">
        <v>185</v>
      </c>
      <c r="B61" s="1124" t="s">
        <v>186</v>
      </c>
      <c r="C61" s="1096"/>
      <c r="D61" s="1096"/>
      <c r="E61" s="2112"/>
      <c r="F61" s="2111"/>
      <c r="G61" s="1096"/>
      <c r="H61" s="1096"/>
      <c r="I61" s="1096"/>
      <c r="J61" s="1096"/>
      <c r="K61" s="1096"/>
      <c r="L61" s="1264"/>
      <c r="M61" s="1103"/>
      <c r="N61" s="1103"/>
      <c r="P61" s="1098"/>
      <c r="Q61" s="1099"/>
      <c r="R61" s="1098"/>
      <c r="S61" s="1104"/>
      <c r="T61" s="1107" t="s">
        <v>341</v>
      </c>
      <c r="U61" s="1106"/>
      <c r="V61" s="1106"/>
      <c r="W61" s="1106"/>
      <c r="X61" s="1106"/>
      <c r="Y61" s="1106"/>
      <c r="Z61" s="1106"/>
      <c r="AA61" s="1106"/>
      <c r="AB61" s="1106"/>
      <c r="AC61" s="1106"/>
      <c r="AD61" s="1106"/>
      <c r="AE61" s="1106"/>
      <c r="AF61" s="1106"/>
      <c r="AG61" s="1106"/>
      <c r="AH61" s="1106"/>
      <c r="AI61" s="1106"/>
      <c r="AJ61" s="1106"/>
      <c r="AK61" s="1106"/>
      <c r="AL61" s="1106"/>
      <c r="AM61" s="1106"/>
      <c r="AN61" s="1106"/>
      <c r="AO61" s="1106"/>
      <c r="AP61" s="1106"/>
      <c r="AQ61" s="1106"/>
      <c r="AR61" s="1106"/>
      <c r="AS61" s="1106"/>
      <c r="AT61" s="1106"/>
      <c r="AU61" s="1106"/>
      <c r="AV61" s="1106"/>
      <c r="AW61" s="1106"/>
      <c r="AX61" s="1106"/>
      <c r="AY61" s="1106"/>
      <c r="AZ61" s="1106"/>
      <c r="BA61" s="1106"/>
      <c r="BB61" s="1106"/>
      <c r="BC61" s="1106"/>
      <c r="BE61" s="598"/>
      <c r="BF61" s="598" t="str">
        <f t="shared" si="4"/>
        <v>Добавить централизованную систему для дифференциации</v>
      </c>
      <c r="BG61" s="598"/>
      <c r="BH61" s="598"/>
    </row>
    <row r="62" spans="1:60" s="1622" customFormat="1" ht="0" hidden="1" customHeight="1">
      <c r="A62" s="1124" t="s">
        <v>185</v>
      </c>
      <c r="B62" s="1124"/>
      <c r="C62" s="1124"/>
      <c r="D62" s="1124"/>
      <c r="E62" s="2111"/>
      <c r="F62" s="1124"/>
      <c r="G62" s="1124"/>
      <c r="H62" s="1124"/>
      <c r="I62" s="1124"/>
      <c r="J62" s="1124"/>
      <c r="K62" s="1124"/>
      <c r="L62" s="1127"/>
      <c r="M62" s="1103"/>
      <c r="N62" s="1103"/>
      <c r="O62" s="386"/>
      <c r="P62" s="269"/>
      <c r="Q62" s="1125"/>
      <c r="R62" s="269"/>
      <c r="S62" s="1104"/>
      <c r="T62" s="1107" t="s">
        <v>342</v>
      </c>
      <c r="U62" s="1106"/>
      <c r="V62" s="1106"/>
      <c r="W62" s="1106"/>
      <c r="X62" s="1106"/>
      <c r="Y62" s="1106"/>
      <c r="Z62" s="1106"/>
      <c r="AA62" s="1106"/>
      <c r="AB62" s="1106"/>
      <c r="AC62" s="1106"/>
      <c r="AD62" s="1106"/>
      <c r="AE62" s="1106"/>
      <c r="AF62" s="1106"/>
      <c r="AG62" s="1106"/>
      <c r="AH62" s="1106"/>
      <c r="AI62" s="1106"/>
      <c r="AJ62" s="1106"/>
      <c r="AK62" s="1106"/>
      <c r="AL62" s="1106"/>
      <c r="AM62" s="1106"/>
      <c r="AN62" s="1106"/>
      <c r="AO62" s="1106"/>
      <c r="AP62" s="1106"/>
      <c r="AQ62" s="1106"/>
      <c r="AR62" s="1106"/>
      <c r="AS62" s="1106"/>
      <c r="AT62" s="1106"/>
      <c r="AU62" s="1106"/>
      <c r="AV62" s="1106"/>
      <c r="AW62" s="1106"/>
      <c r="AX62" s="1106"/>
      <c r="AY62" s="1106"/>
      <c r="AZ62" s="1106"/>
      <c r="BA62" s="1106"/>
      <c r="BB62" s="1106"/>
      <c r="BC62" s="1106"/>
      <c r="BE62" s="368"/>
      <c r="BF62" s="368" t="str">
        <f t="shared" si="4"/>
        <v>Добавить территорию для дифференциации</v>
      </c>
      <c r="BG62" s="368"/>
      <c r="BH62" s="368"/>
    </row>
    <row r="63" spans="1:60" s="1686" customFormat="1" ht="0" hidden="1" customHeight="1">
      <c r="A63" s="1096"/>
      <c r="B63" s="1096"/>
      <c r="C63" s="1096"/>
      <c r="D63" s="1096"/>
      <c r="E63" s="1124"/>
      <c r="F63" s="1096"/>
      <c r="G63" s="1096"/>
      <c r="H63" s="1096"/>
      <c r="I63" s="1096"/>
      <c r="J63" s="1096"/>
      <c r="K63" s="1096"/>
      <c r="L63" s="1264"/>
      <c r="M63" s="1103"/>
      <c r="N63" s="1103"/>
      <c r="P63" s="1098"/>
      <c r="Q63" s="1099"/>
      <c r="R63" s="1098"/>
      <c r="S63" s="1104"/>
      <c r="T63" s="1107" t="s">
        <v>374</v>
      </c>
      <c r="U63" s="1106"/>
      <c r="V63" s="1106"/>
      <c r="W63" s="1106"/>
      <c r="X63" s="1106"/>
      <c r="Y63" s="1106"/>
      <c r="Z63" s="1106"/>
      <c r="AA63" s="1106"/>
      <c r="AB63" s="1106"/>
      <c r="AC63" s="1106"/>
      <c r="AD63" s="1106"/>
      <c r="AE63" s="1106"/>
      <c r="AF63" s="1106"/>
      <c r="AG63" s="1106"/>
      <c r="AH63" s="1106"/>
      <c r="AI63" s="1106"/>
      <c r="AJ63" s="1106"/>
      <c r="AK63" s="1106"/>
      <c r="AL63" s="1106"/>
      <c r="AM63" s="1106"/>
      <c r="AN63" s="1106"/>
      <c r="AO63" s="1106"/>
      <c r="AP63" s="1106"/>
      <c r="AQ63" s="1106"/>
      <c r="AR63" s="1106"/>
      <c r="AS63" s="1106"/>
      <c r="AT63" s="1106"/>
      <c r="AU63" s="1106"/>
      <c r="AV63" s="1106"/>
      <c r="AW63" s="1106"/>
      <c r="AX63" s="1106"/>
      <c r="AY63" s="1106"/>
      <c r="AZ63" s="1106"/>
      <c r="BA63" s="1106"/>
      <c r="BB63" s="1106"/>
      <c r="BC63" s="1106"/>
      <c r="BE63" s="598"/>
      <c r="BF63" s="598" t="str">
        <f t="shared" si="4"/>
        <v>Добавить наименование тарифа</v>
      </c>
      <c r="BG63" s="598"/>
      <c r="BH63" s="598"/>
    </row>
    <row r="64" spans="1:60" ht="11.25" customHeight="1">
      <c r="M64" s="929"/>
      <c r="N64" s="929"/>
      <c r="O64" s="395"/>
      <c r="P64" s="929"/>
      <c r="Q64" s="929"/>
      <c r="R64" s="924"/>
      <c r="S64" s="924"/>
      <c r="BD64" s="924"/>
      <c r="BE64" s="924"/>
      <c r="BF64" s="924"/>
      <c r="BG64" s="924"/>
      <c r="BH64" s="924"/>
    </row>
    <row r="65" spans="15:55" ht="18.75" customHeight="1">
      <c r="O65" s="395"/>
      <c r="S65" s="1031"/>
      <c r="T65" s="2110"/>
      <c r="U65" s="2110"/>
      <c r="V65" s="2110"/>
      <c r="W65" s="2110"/>
      <c r="X65" s="2110"/>
      <c r="Y65" s="2110"/>
      <c r="Z65" s="2110"/>
      <c r="AA65" s="2110"/>
      <c r="AB65" s="2110"/>
      <c r="AC65" s="2110"/>
      <c r="AD65" s="2110"/>
      <c r="AE65" s="2110"/>
      <c r="AF65" s="2110"/>
      <c r="AG65" s="2110"/>
      <c r="AH65" s="2110"/>
      <c r="AI65" s="2110"/>
      <c r="AJ65" s="2110"/>
      <c r="AK65" s="2110"/>
      <c r="AL65" s="2110"/>
      <c r="AM65" s="2110"/>
      <c r="AN65" s="2110"/>
      <c r="AO65" s="2110"/>
      <c r="AP65" s="2110"/>
      <c r="AQ65" s="2110"/>
      <c r="AR65" s="2110"/>
      <c r="AS65" s="2110"/>
      <c r="AT65" s="2110"/>
      <c r="AU65" s="2110"/>
      <c r="AV65" s="2110"/>
      <c r="AW65" s="2110"/>
      <c r="AX65" s="2110"/>
      <c r="AY65" s="2110"/>
      <c r="AZ65" s="2110"/>
      <c r="BA65" s="2110"/>
      <c r="BB65" s="2110"/>
      <c r="BC65" s="2110"/>
    </row>
    <row r="66" spans="15:55" ht="14.25" customHeight="1">
      <c r="O66" s="395"/>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AV66" s="1250"/>
      <c r="AW66" s="1250"/>
      <c r="AX66" s="1250"/>
      <c r="AY66" s="1250"/>
      <c r="AZ66" s="1250"/>
      <c r="BA66" s="1250"/>
      <c r="BB66" s="1250"/>
      <c r="BC66" s="1250"/>
    </row>
    <row r="67" spans="15:55" ht="18.75" customHeight="1">
      <c r="O67" s="395"/>
      <c r="S67" s="1031"/>
      <c r="T67" s="2110"/>
      <c r="U67" s="2110"/>
      <c r="V67" s="2110"/>
      <c r="W67" s="2110"/>
      <c r="X67" s="2110"/>
      <c r="Y67" s="2110"/>
      <c r="Z67" s="2110"/>
      <c r="AA67" s="2110"/>
      <c r="AB67" s="2110"/>
      <c r="AC67" s="2110"/>
      <c r="AD67" s="2110"/>
      <c r="AE67" s="2110"/>
      <c r="AF67" s="2110"/>
      <c r="AG67" s="2110"/>
      <c r="AH67" s="2110"/>
      <c r="AI67" s="2110"/>
      <c r="AJ67" s="2110"/>
      <c r="AK67" s="2110"/>
      <c r="AL67" s="2110"/>
      <c r="AM67" s="2110"/>
      <c r="AN67" s="2110"/>
      <c r="AO67" s="2110"/>
      <c r="AP67" s="2110"/>
      <c r="AQ67" s="2110"/>
      <c r="AR67" s="2110"/>
      <c r="AS67" s="2110"/>
      <c r="AT67" s="2110"/>
      <c r="AU67" s="2110"/>
      <c r="AV67" s="2110"/>
      <c r="AW67" s="2110"/>
      <c r="AX67" s="2110"/>
      <c r="AY67" s="2110"/>
      <c r="AZ67" s="2110"/>
      <c r="BA67" s="2110"/>
      <c r="BB67" s="2110"/>
      <c r="BC67" s="2110"/>
    </row>
    <row r="68" spans="15:55" ht="14.25" customHeight="1">
      <c r="O68" s="39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9" tint="-0.249977111117893"/>
  </sheetPr>
  <dimension ref="A1:AF302"/>
  <sheetViews>
    <sheetView showGridLines="0" topLeftCell="D20" zoomScale="90" workbookViewId="0">
      <selection activeCell="J24" sqref="J24"/>
    </sheetView>
  </sheetViews>
  <sheetFormatPr defaultColWidth="9.140625" defaultRowHeight="11.25" customHeight="1"/>
  <cols>
    <col min="1" max="1" width="10.7109375" style="1714" hidden="1" customWidth="1"/>
    <col min="2" max="2" width="16.85546875" style="1687" hidden="1" customWidth="1"/>
    <col min="3" max="3" width="5.5703125" style="1710" hidden="1" customWidth="1"/>
    <col min="4" max="4" width="3.7109375" style="1753" customWidth="1"/>
    <col min="5" max="5" width="7.7109375" style="1664" customWidth="1"/>
    <col min="6" max="6" width="54.5703125" style="1664" customWidth="1"/>
    <col min="7" max="7" width="10.42578125" style="1664" customWidth="1"/>
    <col min="8" max="8" width="40.7109375" style="1664" hidden="1" customWidth="1"/>
    <col min="9" max="9" width="40.7109375" style="1664" customWidth="1"/>
    <col min="10" max="10" width="40.7109375" style="1708" customWidth="1"/>
    <col min="11" max="11" width="102.85546875" style="1664" customWidth="1"/>
    <col min="12" max="12" width="9.7109375" style="1687" customWidth="1"/>
    <col min="13" max="13" width="5.28515625" style="1710" customWidth="1"/>
    <col min="14" max="14" width="3.7109375" style="1710" customWidth="1"/>
    <col min="15" max="18" width="3.7109375" style="1687" customWidth="1"/>
    <col min="19" max="19" width="10.5703125" style="1710" customWidth="1"/>
    <col min="20" max="20" width="34.7109375" style="1687" customWidth="1"/>
    <col min="21" max="21" width="9.42578125" style="1687" customWidth="1"/>
    <col min="22" max="22" width="9.140625" style="1716"/>
    <col min="23" max="27" width="9.140625" style="1687"/>
    <col min="28" max="32" width="9.140625" style="1663"/>
  </cols>
  <sheetData>
    <row r="1" spans="1:32" ht="11.25" hidden="1" customHeight="1"/>
    <row r="2" spans="1:32" ht="23.25" hidden="1" customHeight="1">
      <c r="B2" s="1954"/>
      <c r="C2" s="935" t="s">
        <v>463</v>
      </c>
      <c r="D2" s="1408"/>
      <c r="E2" s="404">
        <f>B2</f>
        <v>0</v>
      </c>
      <c r="F2" s="405"/>
      <c r="G2" s="1415" t="s">
        <v>464</v>
      </c>
      <c r="H2" s="1415" t="s">
        <v>464</v>
      </c>
      <c r="I2" s="1415" t="s">
        <v>464</v>
      </c>
      <c r="J2" s="1709" t="s">
        <v>464</v>
      </c>
      <c r="K2" s="165" t="s">
        <v>465</v>
      </c>
      <c r="L2" s="401"/>
    </row>
    <row r="3" spans="1:32" s="1710" customFormat="1" ht="0.75" hidden="1" customHeight="1">
      <c r="B3" s="1954"/>
      <c r="C3" s="935"/>
      <c r="D3" s="406"/>
      <c r="E3" s="407"/>
      <c r="F3" s="408" t="s">
        <v>466</v>
      </c>
      <c r="G3" s="409"/>
      <c r="H3" s="409">
        <f>H4*H5+H7</f>
        <v>0</v>
      </c>
      <c r="I3" s="409">
        <f>I4*I5+I6</f>
        <v>0</v>
      </c>
      <c r="J3" s="1711">
        <f>J4*J5+J7</f>
        <v>0</v>
      </c>
      <c r="K3" s="410"/>
    </row>
    <row r="4" spans="1:32" ht="23.25" hidden="1" customHeight="1">
      <c r="B4" s="1954"/>
      <c r="C4" s="935"/>
      <c r="D4" s="1408"/>
      <c r="E4" s="404" t="str">
        <f>B2&amp;".1"</f>
        <v>.1</v>
      </c>
      <c r="F4" s="411" t="s">
        <v>467</v>
      </c>
      <c r="G4" s="412"/>
      <c r="H4" s="399"/>
      <c r="I4" s="399"/>
      <c r="J4" s="1712"/>
      <c r="K4" s="165" t="s">
        <v>468</v>
      </c>
      <c r="L4" s="401"/>
    </row>
    <row r="5" spans="1:32" ht="18.75" hidden="1" customHeight="1">
      <c r="B5" s="1954"/>
      <c r="C5" s="935"/>
      <c r="D5" s="1408"/>
      <c r="E5" s="404" t="str">
        <f>B2&amp;".2"</f>
        <v>.2</v>
      </c>
      <c r="F5" s="411" t="s">
        <v>469</v>
      </c>
      <c r="G5" s="1415" t="s">
        <v>470</v>
      </c>
      <c r="H5" s="399"/>
      <c r="I5" s="399"/>
      <c r="J5" s="1712"/>
      <c r="K5" s="165"/>
      <c r="L5" s="401"/>
    </row>
    <row r="6" spans="1:32" ht="18.75" hidden="1" customHeight="1">
      <c r="B6" s="1954"/>
      <c r="C6" s="935"/>
      <c r="D6" s="1408"/>
      <c r="E6" s="404" t="str">
        <f>B2&amp;".3"</f>
        <v>.3</v>
      </c>
      <c r="F6" s="411" t="s">
        <v>471</v>
      </c>
      <c r="G6" s="1415" t="s">
        <v>470</v>
      </c>
      <c r="H6" s="399"/>
      <c r="I6" s="399"/>
      <c r="J6" s="1712"/>
      <c r="K6" s="165"/>
      <c r="L6" s="401"/>
    </row>
    <row r="7" spans="1:32" ht="18.75" hidden="1" customHeight="1">
      <c r="B7" s="1954"/>
      <c r="C7" s="935"/>
      <c r="D7" s="1408"/>
      <c r="E7" s="404" t="str">
        <f>B2&amp;".4"</f>
        <v>.4</v>
      </c>
      <c r="F7" s="411" t="s">
        <v>472</v>
      </c>
      <c r="G7" s="1415" t="s">
        <v>464</v>
      </c>
      <c r="H7" s="413"/>
      <c r="I7" s="413"/>
      <c r="J7" s="1713"/>
      <c r="K7" s="165"/>
      <c r="L7" s="401"/>
    </row>
    <row r="8" spans="1:32" s="1687" customFormat="1" ht="11.25" hidden="1" customHeight="1">
      <c r="A8" s="771"/>
      <c r="C8" s="1406"/>
      <c r="D8" s="395"/>
      <c r="H8" s="929">
        <v>4</v>
      </c>
      <c r="I8" s="929">
        <v>4</v>
      </c>
      <c r="J8" s="1715">
        <v>4</v>
      </c>
      <c r="M8" s="1406"/>
      <c r="N8" s="1406"/>
      <c r="S8" s="1406"/>
    </row>
    <row r="9" spans="1:32" s="1687" customFormat="1" ht="22.5" hidden="1" customHeight="1">
      <c r="A9" s="771"/>
      <c r="C9" s="1406"/>
      <c r="D9" s="396"/>
      <c r="E9" s="1417"/>
      <c r="F9" s="398"/>
      <c r="G9" s="1415" t="s">
        <v>470</v>
      </c>
      <c r="H9" s="399"/>
      <c r="I9" s="399"/>
      <c r="J9" s="1712"/>
      <c r="K9" s="400" t="s">
        <v>473</v>
      </c>
      <c r="L9" s="401"/>
      <c r="M9" s="1406"/>
      <c r="N9" s="1406"/>
      <c r="S9" s="1406"/>
      <c r="V9" s="402"/>
      <c r="AB9" s="1402"/>
      <c r="AC9" s="1402"/>
      <c r="AD9" s="1402"/>
      <c r="AE9" s="1402"/>
      <c r="AF9" s="1402"/>
    </row>
    <row r="10" spans="1:32" ht="11.25" hidden="1" customHeight="1"/>
    <row r="11" spans="1:32" ht="18.75" hidden="1" customHeight="1">
      <c r="D11" s="1408"/>
      <c r="E11" s="404"/>
      <c r="F11" s="398"/>
      <c r="G11" s="1415" t="s">
        <v>474</v>
      </c>
      <c r="H11" s="399"/>
      <c r="I11" s="399"/>
      <c r="J11" s="1712"/>
      <c r="K11" s="165" t="s">
        <v>475</v>
      </c>
      <c r="L11" s="401"/>
    </row>
    <row r="12" spans="1:32" ht="11.25" hidden="1" customHeight="1"/>
    <row r="13" spans="1:32" ht="22.5" hidden="1" customHeight="1">
      <c r="D13" s="1408"/>
      <c r="E13" s="404"/>
      <c r="F13" s="398"/>
      <c r="G13" s="754" t="s">
        <v>476</v>
      </c>
      <c r="H13" s="403"/>
      <c r="I13" s="403"/>
      <c r="J13" s="1717"/>
      <c r="K13" s="571" t="s">
        <v>477</v>
      </c>
      <c r="L13" s="401"/>
    </row>
    <row r="14" spans="1:32" ht="11.25" hidden="1" customHeight="1"/>
    <row r="15" spans="1:32" ht="22.5" hidden="1" customHeight="1">
      <c r="D15" s="1408"/>
      <c r="E15" s="404"/>
      <c r="F15" s="398"/>
      <c r="G15" s="1415" t="s">
        <v>478</v>
      </c>
      <c r="H15" s="403"/>
      <c r="I15" s="403"/>
      <c r="J15" s="1717"/>
      <c r="K15" s="165" t="s">
        <v>479</v>
      </c>
      <c r="L15" s="401"/>
    </row>
    <row r="16" spans="1:32" ht="11.25" hidden="1" customHeight="1"/>
    <row r="17" spans="1:27" ht="22.5" hidden="1" customHeight="1">
      <c r="D17" s="1408"/>
      <c r="E17" s="404"/>
      <c r="F17" s="398"/>
      <c r="G17" s="1415" t="s">
        <v>480</v>
      </c>
      <c r="H17" s="403"/>
      <c r="I17" s="403"/>
      <c r="J17" s="1717"/>
      <c r="K17" s="165" t="s">
        <v>481</v>
      </c>
      <c r="L17" s="401"/>
    </row>
    <row r="18" spans="1:27" ht="11.25" hidden="1" customHeight="1"/>
    <row r="19" spans="1:27" s="1663" customFormat="1" ht="11.25" hidden="1" customHeight="1">
      <c r="A19" s="771"/>
      <c r="B19" s="929"/>
      <c r="C19" s="1406"/>
      <c r="D19" s="245"/>
      <c r="J19" s="1718"/>
      <c r="K19" s="1402">
        <v>4</v>
      </c>
      <c r="L19" s="929"/>
      <c r="M19" s="1406"/>
      <c r="N19" s="1406"/>
      <c r="O19" s="929"/>
      <c r="P19" s="929"/>
      <c r="Q19" s="929"/>
      <c r="R19" s="929"/>
      <c r="S19" s="1406"/>
      <c r="T19" s="929"/>
      <c r="U19" s="929"/>
      <c r="V19" s="402"/>
      <c r="W19" s="929"/>
      <c r="X19" s="929"/>
      <c r="Y19" s="929"/>
      <c r="Z19" s="929"/>
      <c r="AA19" s="929"/>
    </row>
    <row r="21" spans="1:27" ht="24" customHeight="1">
      <c r="E21" s="208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88"/>
      <c r="G21" s="2088"/>
      <c r="H21" s="2088"/>
      <c r="I21" s="2088"/>
      <c r="J21" s="1719"/>
      <c r="K21" s="414"/>
    </row>
    <row r="22" spans="1:27" ht="24" customHeight="1">
      <c r="E22" s="2059" t="e">
        <f>IF(org=0,"Не определено",org)</f>
        <v>#REF!</v>
      </c>
      <c r="F22" s="2059"/>
      <c r="G22" s="2059"/>
      <c r="H22" s="2059"/>
      <c r="I22" s="2059"/>
      <c r="J22" s="1720"/>
    </row>
    <row r="23" spans="1:27" ht="11.25" customHeight="1">
      <c r="E23" s="907"/>
      <c r="F23" s="907"/>
      <c r="G23" s="907"/>
      <c r="H23" s="907"/>
      <c r="I23" s="907"/>
      <c r="J23" s="1721" t="s">
        <v>1</v>
      </c>
    </row>
    <row r="24" spans="1:27" s="1710" customFormat="1" ht="0.75" customHeight="1">
      <c r="A24" s="935"/>
      <c r="D24" s="1411"/>
      <c r="H24" s="678"/>
      <c r="I24" s="678" t="s">
        <v>51</v>
      </c>
      <c r="J24" s="1722" t="s">
        <v>57</v>
      </c>
    </row>
    <row r="25" spans="1:27" ht="11.25" customHeight="1">
      <c r="E25" s="538"/>
      <c r="F25" s="2189" t="s">
        <v>39</v>
      </c>
      <c r="G25" s="2190"/>
      <c r="H25" s="1421" t="str">
        <f>IF(H24="","",INDEX(DIFFERENTIATION_UNMERGE_VD,MATCH(H24,DIFFERENTIATION_ID_DIFF,0)))</f>
        <v/>
      </c>
      <c r="I25" s="1421" t="e">
        <f>IF(I24="","",INDEX(DIFFERENTIATION_UNMERGE_VD,MATCH(I24,DIFFERENTIATION_ID_DIFF,0)))</f>
        <v>#REF!</v>
      </c>
      <c r="J25" s="1723" t="e">
        <f>IF(J24="","",INDEX(DIFFERENTIATION_UNMERGE_VD,MATCH(J24,DIFFERENTIATION_ID_DIFF,0)))</f>
        <v>#REF!</v>
      </c>
      <c r="K25" s="2025"/>
    </row>
    <row r="26" spans="1:27" ht="11.25" customHeight="1">
      <c r="E26" s="538"/>
      <c r="F26" s="2189" t="s">
        <v>482</v>
      </c>
      <c r="G26" s="2190"/>
      <c r="H26" s="1421" t="str">
        <f>IF(H24="","",INDEX(DIFFERENTIATION_UNMERGE_AREA,MATCH(H24,DIFFERENTIATION_ID_DIFF,0)))</f>
        <v/>
      </c>
      <c r="I26" s="1421" t="e">
        <f>IF(I24="","",INDEX(DIFFERENTIATION_UNMERGE_AREA,MATCH(I24,DIFFERENTIATION_ID_DIFF,0)))</f>
        <v>#REF!</v>
      </c>
      <c r="J26" s="1723" t="e">
        <f>IF(J24="","",INDEX(DIFFERENTIATION_UNMERGE_AREA,MATCH(J24,DIFFERENTIATION_ID_DIFF,0)))</f>
        <v>#REF!</v>
      </c>
      <c r="K26" s="2025"/>
    </row>
    <row r="27" spans="1:27" ht="11.25" customHeight="1">
      <c r="E27" s="538"/>
      <c r="F27" s="2189" t="s">
        <v>483</v>
      </c>
      <c r="G27" s="2190"/>
      <c r="H27" s="1421" t="str">
        <f>IF(H24="","",INDEX(DIFFERENTIATION_UNMERGE_SYSTEM,MATCH(H24,DIFFERENTIATION_ID_DIFF,0)))</f>
        <v/>
      </c>
      <c r="I27" s="1421" t="e">
        <f>IF(I24="","",INDEX(DIFFERENTIATION_UNMERGE_SYSTEM,MATCH(I24,DIFFERENTIATION_ID_DIFF,0)))</f>
        <v>#REF!</v>
      </c>
      <c r="J27" s="1723" t="e">
        <f>IF(J24="","",INDEX(DIFFERENTIATION_UNMERGE_SYSTEM,MATCH(J24,DIFFERENTIATION_ID_DIFF,0)))</f>
        <v>#REF!</v>
      </c>
      <c r="K27" s="2025"/>
    </row>
    <row r="28" spans="1:27" ht="11.25" customHeight="1">
      <c r="E28" s="2191" t="s">
        <v>224</v>
      </c>
      <c r="F28" s="2192"/>
      <c r="G28" s="2192"/>
      <c r="H28" s="1414"/>
      <c r="I28" s="1414"/>
      <c r="J28" s="1724"/>
      <c r="K28" s="2025"/>
    </row>
    <row r="29" spans="1:27" ht="22.5" customHeight="1">
      <c r="E29" s="1415" t="s">
        <v>22</v>
      </c>
      <c r="F29" s="1422" t="s">
        <v>226</v>
      </c>
      <c r="G29" s="1422" t="s">
        <v>484</v>
      </c>
      <c r="H29" s="1422" t="s">
        <v>227</v>
      </c>
      <c r="I29" s="1422" t="s">
        <v>227</v>
      </c>
      <c r="J29" s="1709" t="s">
        <v>227</v>
      </c>
      <c r="K29" s="2025"/>
    </row>
    <row r="30" spans="1:27" ht="22.5" customHeight="1">
      <c r="D30" s="1408"/>
      <c r="E30" s="404">
        <f>FHD_NUM_P_1</f>
        <v>1</v>
      </c>
      <c r="F30" s="1611" t="str">
        <f>FHD_P_1</f>
        <v>Выручка от регулируемого вида деятельности с распределением по видам деятельности</v>
      </c>
      <c r="G30" s="1609" t="s">
        <v>470</v>
      </c>
      <c r="H30" s="415"/>
      <c r="I30" s="415"/>
      <c r="J30" s="1725"/>
      <c r="K30" s="165" t="str">
        <f>FHD_NOTE_P_1</f>
        <v>Указывается выручка от регулируемого вида деятельности с распределением по видам деятельности.</v>
      </c>
      <c r="L30" s="401"/>
    </row>
    <row r="31" spans="1:27" ht="22.5" customHeight="1">
      <c r="D31" s="1408"/>
      <c r="E31" s="404">
        <f>FHD_NUM_P_2</f>
        <v>2</v>
      </c>
      <c r="F31" s="1611" t="str">
        <f>FHD_P_2</f>
        <v>Себестоимость производимых товаров (оказываемых услуг) по регулируемому виду деятельности, включая:</v>
      </c>
      <c r="G31" s="1609" t="s">
        <v>470</v>
      </c>
      <c r="H31" s="416">
        <f>SUMIF($L33:$L71,$L31,H33:H71)</f>
        <v>0</v>
      </c>
      <c r="I31" s="416">
        <f>SUMIF($L33:$L71,$L31,I33:I71)</f>
        <v>0</v>
      </c>
      <c r="J31" s="1726">
        <f>SUMIF($L33:$L71,$L31,J33:J71)</f>
        <v>0</v>
      </c>
      <c r="K31" s="165" t="str">
        <f>FHD_NOTE_P_2</f>
        <v>Указывается суммарная себестоимость производимых товаров.</v>
      </c>
      <c r="L31" s="1406" t="s">
        <v>485</v>
      </c>
    </row>
    <row r="32" spans="1:27" ht="22.5" customHeight="1">
      <c r="D32" s="1408"/>
      <c r="E32" s="404" t="str">
        <f>FHD_NUM_P_3</f>
        <v>2.1</v>
      </c>
      <c r="F32" s="1294" t="str">
        <f>FHD_P_3</f>
        <v>Расходы на приобретаемую тепловую энергию (мощность), теплоноситель</v>
      </c>
      <c r="G32" s="1609" t="s">
        <v>470</v>
      </c>
      <c r="H32" s="415"/>
      <c r="I32" s="415"/>
      <c r="J32" s="1725"/>
      <c r="K32" s="165" t="str">
        <f>FHD_NOTE_P_3</f>
        <v/>
      </c>
      <c r="L32" s="1406" t="str">
        <f t="shared" ref="L32:L70" si="0">IF((LEN(E32)-LEN(SUBSTITUTE(E32,".","")))/LEN(".")=1,"p","")</f>
        <v>p</v>
      </c>
    </row>
    <row r="33" spans="1:32" ht="11.25" customHeight="1">
      <c r="A33" s="2187" t="s">
        <v>486</v>
      </c>
      <c r="D33" s="1408"/>
      <c r="E33" s="404" t="str">
        <f>FHD_NUM_P_4</f>
        <v>2.2</v>
      </c>
      <c r="F33" s="12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09" t="s">
        <v>470</v>
      </c>
      <c r="H33" s="416">
        <f>SUMIF($F34:$F40,$F3,H34:H40)</f>
        <v>0</v>
      </c>
      <c r="I33" s="416">
        <f>SUMIF($F34:$F40,$F3,I34:I40)</f>
        <v>0</v>
      </c>
      <c r="J33" s="1726">
        <f>SUMIF($F34:$F40,$F3,J34:J40)</f>
        <v>0</v>
      </c>
      <c r="K33" s="165" t="str">
        <f>FHD_NOTE_P_4</f>
        <v>Указываются суммарные расходы на приобретение топлива всех видов.</v>
      </c>
      <c r="L33" s="1406" t="str">
        <f t="shared" si="0"/>
        <v>p</v>
      </c>
    </row>
    <row r="34" spans="1:32" s="1727" customFormat="1" ht="0.75" customHeight="1">
      <c r="A34" s="2187"/>
      <c r="B34" s="2188" t="str">
        <f>E33&amp;".0"</f>
        <v>2.2.0</v>
      </c>
      <c r="C34" s="935"/>
      <c r="D34" s="418"/>
      <c r="E34" s="419"/>
      <c r="F34" s="420"/>
      <c r="G34" s="421"/>
      <c r="H34" s="365"/>
      <c r="I34" s="365"/>
      <c r="J34" s="1728"/>
      <c r="K34" s="422"/>
      <c r="L34" s="1406" t="str">
        <f t="shared" si="0"/>
        <v/>
      </c>
      <c r="M34" s="1406"/>
      <c r="N34" s="1406"/>
      <c r="O34" s="1406"/>
      <c r="P34" s="1406"/>
      <c r="Q34" s="1406"/>
      <c r="R34" s="1406"/>
      <c r="S34" s="1406"/>
      <c r="T34" s="1406"/>
      <c r="U34" s="1406"/>
      <c r="V34" s="423"/>
      <c r="W34" s="1406"/>
      <c r="X34" s="1406"/>
      <c r="Y34" s="1406"/>
      <c r="Z34" s="1406"/>
      <c r="AA34" s="1406"/>
      <c r="AB34" s="424"/>
      <c r="AC34" s="424"/>
      <c r="AD34" s="424"/>
      <c r="AE34" s="424"/>
      <c r="AF34" s="424"/>
    </row>
    <row r="35" spans="1:32" s="1727" customFormat="1" ht="0.75" customHeight="1">
      <c r="A35" s="2187"/>
      <c r="B35" s="2188"/>
      <c r="C35" s="935"/>
      <c r="D35" s="418"/>
      <c r="E35" s="425"/>
      <c r="F35" s="426"/>
      <c r="G35" s="421"/>
      <c r="H35" s="427"/>
      <c r="I35" s="427"/>
      <c r="J35" s="1729"/>
      <c r="K35" s="422"/>
      <c r="L35" s="1406" t="str">
        <f t="shared" si="0"/>
        <v/>
      </c>
      <c r="M35" s="1406"/>
      <c r="N35" s="1406"/>
      <c r="O35" s="1406"/>
      <c r="P35" s="1406"/>
      <c r="Q35" s="1406"/>
      <c r="R35" s="1406"/>
      <c r="S35" s="1406"/>
      <c r="T35" s="1406"/>
      <c r="U35" s="1406"/>
      <c r="V35" s="423"/>
      <c r="W35" s="1406"/>
      <c r="X35" s="1406"/>
      <c r="Y35" s="1406"/>
      <c r="Z35" s="1406"/>
      <c r="AA35" s="1406"/>
      <c r="AB35" s="424"/>
      <c r="AC35" s="424"/>
      <c r="AD35" s="424"/>
      <c r="AE35" s="424"/>
      <c r="AF35" s="424"/>
    </row>
    <row r="36" spans="1:32" s="1727" customFormat="1" ht="0.75" customHeight="1">
      <c r="A36" s="2187"/>
      <c r="B36" s="2188"/>
      <c r="C36" s="935"/>
      <c r="D36" s="418"/>
      <c r="E36" s="425"/>
      <c r="F36" s="426"/>
      <c r="G36" s="421"/>
      <c r="H36" s="427"/>
      <c r="I36" s="427"/>
      <c r="J36" s="1729"/>
      <c r="K36" s="422"/>
      <c r="L36" s="1406" t="str">
        <f t="shared" si="0"/>
        <v/>
      </c>
      <c r="M36" s="1406"/>
      <c r="N36" s="1406"/>
      <c r="O36" s="1406"/>
      <c r="P36" s="1406"/>
      <c r="Q36" s="1406"/>
      <c r="R36" s="1406"/>
      <c r="S36" s="1406"/>
      <c r="T36" s="1406"/>
      <c r="U36" s="1406"/>
      <c r="V36" s="423"/>
      <c r="W36" s="1406"/>
      <c r="X36" s="1406"/>
      <c r="Y36" s="1406"/>
      <c r="Z36" s="1406"/>
      <c r="AA36" s="1406"/>
      <c r="AB36" s="424"/>
      <c r="AC36" s="424"/>
      <c r="AD36" s="424"/>
      <c r="AE36" s="424"/>
      <c r="AF36" s="424"/>
    </row>
    <row r="37" spans="1:32" s="1727" customFormat="1" ht="0.75" customHeight="1">
      <c r="A37" s="2187"/>
      <c r="B37" s="2188"/>
      <c r="C37" s="935"/>
      <c r="D37" s="418"/>
      <c r="E37" s="425"/>
      <c r="F37" s="426"/>
      <c r="G37" s="421"/>
      <c r="H37" s="427"/>
      <c r="I37" s="427"/>
      <c r="J37" s="1729"/>
      <c r="K37" s="422"/>
      <c r="L37" s="1406" t="str">
        <f t="shared" si="0"/>
        <v/>
      </c>
      <c r="M37" s="1406"/>
      <c r="N37" s="1406"/>
      <c r="O37" s="1406"/>
      <c r="P37" s="1406"/>
      <c r="Q37" s="1406"/>
      <c r="R37" s="1406"/>
      <c r="S37" s="1406"/>
      <c r="T37" s="1406"/>
      <c r="U37" s="1406"/>
      <c r="V37" s="423"/>
      <c r="W37" s="1406"/>
      <c r="X37" s="1406"/>
      <c r="Y37" s="1406"/>
      <c r="Z37" s="1406"/>
      <c r="AA37" s="1406"/>
      <c r="AB37" s="424"/>
      <c r="AC37" s="424"/>
      <c r="AD37" s="424"/>
      <c r="AE37" s="424"/>
      <c r="AF37" s="424"/>
    </row>
    <row r="38" spans="1:32" s="1727" customFormat="1" ht="0.75" customHeight="1">
      <c r="A38" s="2187"/>
      <c r="B38" s="2188"/>
      <c r="C38" s="935"/>
      <c r="D38" s="418"/>
      <c r="E38" s="425"/>
      <c r="F38" s="426"/>
      <c r="G38" s="421"/>
      <c r="H38" s="427"/>
      <c r="I38" s="427"/>
      <c r="J38" s="1729"/>
      <c r="K38" s="422"/>
      <c r="L38" s="1406" t="str">
        <f t="shared" si="0"/>
        <v/>
      </c>
      <c r="M38" s="1406"/>
      <c r="N38" s="1406"/>
      <c r="O38" s="1406"/>
      <c r="P38" s="1406"/>
      <c r="Q38" s="1406"/>
      <c r="R38" s="1406"/>
      <c r="S38" s="1406"/>
      <c r="T38" s="1406"/>
      <c r="U38" s="1406"/>
      <c r="V38" s="423"/>
      <c r="W38" s="1406"/>
      <c r="X38" s="1406"/>
      <c r="Y38" s="1406"/>
      <c r="Z38" s="1406"/>
      <c r="AA38" s="1406"/>
      <c r="AB38" s="424"/>
      <c r="AC38" s="424"/>
      <c r="AD38" s="424"/>
      <c r="AE38" s="424"/>
      <c r="AF38" s="424"/>
    </row>
    <row r="39" spans="1:32" s="1727" customFormat="1" ht="0.75" customHeight="1">
      <c r="A39" s="2187"/>
      <c r="B39" s="2188"/>
      <c r="C39" s="935"/>
      <c r="D39" s="418"/>
      <c r="E39" s="425"/>
      <c r="F39" s="426"/>
      <c r="G39" s="421"/>
      <c r="H39" s="365"/>
      <c r="I39" s="365"/>
      <c r="J39" s="1728"/>
      <c r="K39" s="422"/>
      <c r="L39" s="1406" t="str">
        <f t="shared" si="0"/>
        <v/>
      </c>
      <c r="M39" s="1406"/>
      <c r="N39" s="1406"/>
      <c r="O39" s="1406"/>
      <c r="P39" s="1406"/>
      <c r="Q39" s="1406"/>
      <c r="R39" s="1406"/>
      <c r="S39" s="1406"/>
      <c r="T39" s="1406"/>
      <c r="U39" s="1406"/>
      <c r="V39" s="423"/>
      <c r="W39" s="1406"/>
      <c r="X39" s="1406"/>
      <c r="Y39" s="1406"/>
      <c r="Z39" s="1406"/>
      <c r="AA39" s="1406"/>
      <c r="AB39" s="424"/>
      <c r="AC39" s="424"/>
      <c r="AD39" s="424"/>
      <c r="AE39" s="424"/>
      <c r="AF39" s="424"/>
    </row>
    <row r="40" spans="1:32" s="1687" customFormat="1" ht="15" customHeight="1">
      <c r="A40" s="2187"/>
      <c r="C40" s="1406"/>
      <c r="D40" s="1403"/>
      <c r="E40" s="428"/>
      <c r="F40" s="429" t="s">
        <v>487</v>
      </c>
      <c r="G40" s="430"/>
      <c r="H40" s="431"/>
      <c r="I40" s="431"/>
      <c r="J40" s="1730"/>
      <c r="K40" s="176"/>
      <c r="L40" s="1406" t="str">
        <f t="shared" si="0"/>
        <v/>
      </c>
      <c r="M40" s="1406"/>
      <c r="N40" s="1406"/>
      <c r="S40" s="1406"/>
      <c r="V40" s="402"/>
      <c r="AB40" s="1402"/>
      <c r="AC40" s="1402"/>
      <c r="AD40" s="1402"/>
      <c r="AE40" s="1402"/>
      <c r="AF40" s="1402"/>
    </row>
    <row r="41" spans="1:32" ht="11.25" hidden="1" customHeight="1">
      <c r="A41" s="2187" t="s">
        <v>488</v>
      </c>
      <c r="D41" s="1408"/>
      <c r="E41" s="404" t="str">
        <f>FHD_NUM_P_5</f>
        <v/>
      </c>
      <c r="F41" s="1294" t="str">
        <f>FHD_P_5</f>
        <v/>
      </c>
      <c r="G41" s="1609" t="s">
        <v>470</v>
      </c>
      <c r="H41" s="415"/>
      <c r="I41" s="415"/>
      <c r="J41" s="1725"/>
      <c r="K41" s="165" t="str">
        <f>FHD_NOTE_P_5</f>
        <v/>
      </c>
      <c r="L41" s="1406" t="str">
        <f t="shared" si="0"/>
        <v/>
      </c>
    </row>
    <row r="42" spans="1:32" ht="11.25" hidden="1" customHeight="1">
      <c r="A42" s="2187"/>
      <c r="D42" s="1408"/>
      <c r="E42" s="404" t="str">
        <f>FHD_NUM_P_6</f>
        <v/>
      </c>
      <c r="F42" s="1294" t="str">
        <f>FHD_P_6</f>
        <v/>
      </c>
      <c r="G42" s="1609" t="s">
        <v>470</v>
      </c>
      <c r="H42" s="415"/>
      <c r="I42" s="415"/>
      <c r="J42" s="1725"/>
      <c r="K42" s="165" t="str">
        <f>FHD_NOTE_P_6</f>
        <v/>
      </c>
      <c r="L42" s="1406" t="str">
        <f t="shared" si="0"/>
        <v/>
      </c>
    </row>
    <row r="43" spans="1:32" ht="11.25" hidden="1" customHeight="1">
      <c r="A43" s="2187"/>
      <c r="D43" s="1408"/>
      <c r="E43" s="404" t="str">
        <f>FHD_NUM_P_7</f>
        <v/>
      </c>
      <c r="F43" s="1294" t="str">
        <f>FHD_P_7</f>
        <v/>
      </c>
      <c r="G43" s="1609" t="s">
        <v>470</v>
      </c>
      <c r="H43" s="415"/>
      <c r="I43" s="415"/>
      <c r="J43" s="1725"/>
      <c r="K43" s="165" t="str">
        <f>FHD_NOTE_P_7</f>
        <v/>
      </c>
      <c r="L43" s="1406" t="str">
        <f t="shared" si="0"/>
        <v/>
      </c>
    </row>
    <row r="44" spans="1:32" ht="22.5" customHeight="1">
      <c r="D44" s="1408"/>
      <c r="E44" s="404" t="str">
        <f>FHD_NUM_P_8</f>
        <v>2.3</v>
      </c>
      <c r="F44" s="1294" t="str">
        <f>FHD_P_8</f>
        <v>Расходы на приобретаемую электрическую энергию (мощность), используемую в технологическом процессе</v>
      </c>
      <c r="G44" s="1609" t="s">
        <v>470</v>
      </c>
      <c r="H44" s="415"/>
      <c r="I44" s="415"/>
      <c r="J44" s="1725"/>
      <c r="K44" s="165" t="str">
        <f>FHD_NOTE_P_8</f>
        <v/>
      </c>
      <c r="L44" s="1406" t="str">
        <f t="shared" si="0"/>
        <v>p</v>
      </c>
    </row>
    <row r="45" spans="1:32" ht="22.5" customHeight="1">
      <c r="D45" s="1408"/>
      <c r="E45" s="404" t="str">
        <f>FHD_NUM_P_9</f>
        <v>2.3.1</v>
      </c>
      <c r="F45" s="1419" t="str">
        <f>FHD_P_9</f>
        <v>Средневзвешенная стоимость 1 кВт.ч (с учетом мощности)</v>
      </c>
      <c r="G45" s="1609" t="s">
        <v>489</v>
      </c>
      <c r="H45" s="415"/>
      <c r="I45" s="415"/>
      <c r="J45" s="1725"/>
      <c r="K45" s="165" t="str">
        <f>FHD_NOTE_P_9</f>
        <v/>
      </c>
      <c r="L45" s="1406" t="str">
        <f t="shared" si="0"/>
        <v/>
      </c>
    </row>
    <row r="46" spans="1:32" s="1687" customFormat="1" ht="11.25" customHeight="1">
      <c r="A46" s="771"/>
      <c r="C46" s="1406"/>
      <c r="D46" s="432"/>
      <c r="E46" s="404" t="str">
        <f>FHD_NUM_P_10</f>
        <v>2.3.2</v>
      </c>
      <c r="F46" s="1419" t="str">
        <f>FHD_P_10</f>
        <v>Объём приобретения электрической энергии</v>
      </c>
      <c r="G46" s="1609" t="s">
        <v>490</v>
      </c>
      <c r="H46" s="415"/>
      <c r="I46" s="415"/>
      <c r="J46" s="1725"/>
      <c r="K46" s="165" t="str">
        <f>FHD_NOTE_P_10</f>
        <v/>
      </c>
      <c r="L46" s="1406" t="str">
        <f t="shared" si="0"/>
        <v/>
      </c>
      <c r="M46" s="1406"/>
      <c r="N46" s="1406"/>
      <c r="S46" s="1406"/>
      <c r="V46" s="402"/>
      <c r="AB46" s="1402"/>
      <c r="AC46" s="1402"/>
      <c r="AD46" s="1402"/>
      <c r="AE46" s="1402"/>
      <c r="AF46" s="1402"/>
    </row>
    <row r="47" spans="1:32" s="1687" customFormat="1" ht="11.25" customHeight="1">
      <c r="A47" s="773" t="s">
        <v>491</v>
      </c>
      <c r="C47" s="1406"/>
      <c r="D47" s="433"/>
      <c r="E47" s="404" t="str">
        <f>FHD_NUM_P_11</f>
        <v>2.4</v>
      </c>
      <c r="F47" s="1294" t="str">
        <f>FHD_P_11</f>
        <v>Расходы на приобретение холодной воды, используемой в технологическом процессе</v>
      </c>
      <c r="G47" s="1609" t="s">
        <v>470</v>
      </c>
      <c r="H47" s="415"/>
      <c r="I47" s="415"/>
      <c r="J47" s="1725"/>
      <c r="K47" s="165" t="str">
        <f>FHD_NOTE_P_11</f>
        <v/>
      </c>
      <c r="L47" s="1406" t="str">
        <f t="shared" si="0"/>
        <v>p</v>
      </c>
      <c r="M47" s="1406"/>
      <c r="N47" s="1406"/>
      <c r="S47" s="1406"/>
      <c r="V47" s="402"/>
      <c r="AB47" s="1402"/>
      <c r="AC47" s="1402"/>
      <c r="AD47" s="1402"/>
      <c r="AE47" s="1402"/>
      <c r="AF47" s="1402"/>
    </row>
    <row r="48" spans="1:32" s="1687" customFormat="1" ht="22.5" customHeight="1">
      <c r="A48" s="773" t="s">
        <v>492</v>
      </c>
      <c r="C48" s="1406"/>
      <c r="D48" s="1408"/>
      <c r="E48" s="404" t="str">
        <f>FHD_NUM_P_12</f>
        <v>2.5</v>
      </c>
      <c r="F48" s="1294" t="str">
        <f>FHD_P_12</f>
        <v>Расходы на химические реагенты, используемые в технологическом процессе</v>
      </c>
      <c r="G48" s="1609" t="s">
        <v>470</v>
      </c>
      <c r="H48" s="435"/>
      <c r="I48" s="435"/>
      <c r="J48" s="1731"/>
      <c r="K48" s="165" t="str">
        <f>FHD_NOTE_P_12</f>
        <v/>
      </c>
      <c r="L48" s="1406" t="str">
        <f t="shared" si="0"/>
        <v>p</v>
      </c>
      <c r="M48" s="1406"/>
      <c r="N48" s="1406"/>
      <c r="S48" s="1406"/>
      <c r="V48" s="402"/>
      <c r="AB48" s="1402"/>
      <c r="AC48" s="1402"/>
      <c r="AD48" s="1402"/>
      <c r="AE48" s="1402"/>
      <c r="AF48" s="1402"/>
    </row>
    <row r="49" spans="1:32" s="1691" customFormat="1" ht="45" customHeight="1">
      <c r="A49" s="772"/>
      <c r="C49" s="557"/>
      <c r="D49" s="513"/>
      <c r="E49" s="404" t="str">
        <f>FHD_NUM_P_13</f>
        <v>2.6</v>
      </c>
      <c r="F49" s="12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09" t="s">
        <v>470</v>
      </c>
      <c r="H49" s="415"/>
      <c r="I49" s="415"/>
      <c r="J49" s="1725"/>
      <c r="K49" s="165" t="str">
        <f>FHD_NOTE_P_13</f>
        <v/>
      </c>
      <c r="L49" s="1406" t="str">
        <f t="shared" si="0"/>
        <v>p</v>
      </c>
      <c r="M49" s="557"/>
      <c r="N49" s="557"/>
      <c r="S49" s="557"/>
      <c r="V49" s="558"/>
      <c r="AB49" s="559"/>
      <c r="AC49" s="559"/>
      <c r="AD49" s="559"/>
      <c r="AE49" s="559"/>
      <c r="AF49" s="559"/>
    </row>
    <row r="50" spans="1:32" s="1691" customFormat="1" ht="22.5" customHeight="1">
      <c r="A50" s="772"/>
      <c r="C50" s="557"/>
      <c r="D50" s="513"/>
      <c r="E50" s="404" t="str">
        <f>FHD_NUM_P_14</f>
        <v>2.6.1</v>
      </c>
      <c r="F50" s="1419" t="str">
        <f>FHD_P_14</f>
        <v>Расходы на оплату труда основного производственного персонала</v>
      </c>
      <c r="G50" s="1609" t="s">
        <v>470</v>
      </c>
      <c r="H50" s="415"/>
      <c r="I50" s="415"/>
      <c r="J50" s="1725"/>
      <c r="K50" s="165" t="str">
        <f>FHD_NOTE_P_14</f>
        <v/>
      </c>
      <c r="L50" s="1406" t="str">
        <f t="shared" si="0"/>
        <v/>
      </c>
      <c r="M50" s="557"/>
      <c r="N50" s="557"/>
      <c r="S50" s="557"/>
      <c r="V50" s="558"/>
      <c r="AB50" s="559"/>
      <c r="AC50" s="559"/>
      <c r="AD50" s="559"/>
      <c r="AE50" s="559"/>
      <c r="AF50" s="559"/>
    </row>
    <row r="51" spans="1:32" s="1691" customFormat="1" ht="33.75" customHeight="1">
      <c r="A51" s="772"/>
      <c r="C51" s="557"/>
      <c r="D51" s="513"/>
      <c r="E51" s="404" t="str">
        <f>FHD_NUM_P_15</f>
        <v>2.6.2</v>
      </c>
      <c r="F51" s="1419" t="str">
        <f>FHD_P_15</f>
        <v>Страховые взносы на обязательное социальное страхование, выплачиваемые из фонда оплаты труда основного производственного персонала</v>
      </c>
      <c r="G51" s="1609" t="s">
        <v>470</v>
      </c>
      <c r="H51" s="415"/>
      <c r="I51" s="415"/>
      <c r="J51" s="1725"/>
      <c r="K51" s="165" t="str">
        <f>FHD_NOTE_P_15</f>
        <v/>
      </c>
      <c r="L51" s="1406" t="str">
        <f t="shared" si="0"/>
        <v/>
      </c>
      <c r="M51" s="557"/>
      <c r="N51" s="557"/>
      <c r="S51" s="557"/>
      <c r="V51" s="558"/>
      <c r="AB51" s="559"/>
      <c r="AC51" s="559"/>
      <c r="AD51" s="559"/>
      <c r="AE51" s="559"/>
      <c r="AF51" s="559"/>
    </row>
    <row r="52" spans="1:32" s="1687" customFormat="1" ht="45" customHeight="1">
      <c r="A52" s="771"/>
      <c r="C52" s="1406"/>
      <c r="D52" s="1408"/>
      <c r="E52" s="404" t="str">
        <f>FHD_NUM_P_16</f>
        <v>2.7</v>
      </c>
      <c r="F52" s="12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09" t="s">
        <v>470</v>
      </c>
      <c r="H52" s="415"/>
      <c r="I52" s="415"/>
      <c r="J52" s="1725"/>
      <c r="K52" s="165" t="str">
        <f>FHD_NOTE_P_16</f>
        <v/>
      </c>
      <c r="L52" s="1406" t="str">
        <f t="shared" si="0"/>
        <v>p</v>
      </c>
      <c r="M52" s="1406"/>
      <c r="N52" s="1411"/>
      <c r="O52" s="395"/>
      <c r="P52" s="395"/>
      <c r="S52" s="1406"/>
      <c r="V52" s="402"/>
      <c r="AB52" s="1402"/>
      <c r="AC52" s="1402"/>
      <c r="AD52" s="1402"/>
      <c r="AE52" s="1402"/>
      <c r="AF52" s="1402"/>
    </row>
    <row r="53" spans="1:32" s="1687" customFormat="1" ht="22.5" customHeight="1">
      <c r="A53" s="771"/>
      <c r="C53" s="1406"/>
      <c r="D53" s="1408"/>
      <c r="E53" s="404" t="str">
        <f>FHD_NUM_P_17</f>
        <v>2.7.1</v>
      </c>
      <c r="F53" s="1419" t="str">
        <f>FHD_P_17</f>
        <v>Расходы на оплату труда административно-управленческого персонала</v>
      </c>
      <c r="G53" s="1609" t="s">
        <v>470</v>
      </c>
      <c r="H53" s="415"/>
      <c r="I53" s="415"/>
      <c r="J53" s="1725"/>
      <c r="K53" s="165" t="str">
        <f>FHD_NOTE_P_17</f>
        <v/>
      </c>
      <c r="L53" s="1406" t="str">
        <f t="shared" si="0"/>
        <v/>
      </c>
      <c r="M53" s="1406"/>
      <c r="N53" s="1411"/>
      <c r="O53" s="395"/>
      <c r="P53" s="395"/>
      <c r="S53" s="1406"/>
      <c r="V53" s="402"/>
      <c r="AB53" s="1402"/>
      <c r="AC53" s="1402"/>
      <c r="AD53" s="1402"/>
      <c r="AE53" s="1402"/>
      <c r="AF53" s="1402"/>
    </row>
    <row r="54" spans="1:32" s="1687" customFormat="1" ht="33.75" customHeight="1">
      <c r="A54" s="771"/>
      <c r="C54" s="1406"/>
      <c r="D54" s="1408"/>
      <c r="E54" s="404" t="str">
        <f>FHD_NUM_P_18</f>
        <v>2.7.2</v>
      </c>
      <c r="F54" s="141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09" t="s">
        <v>470</v>
      </c>
      <c r="H54" s="415"/>
      <c r="I54" s="415"/>
      <c r="J54" s="1725"/>
      <c r="K54" s="165" t="str">
        <f>FHD_NOTE_P_18</f>
        <v/>
      </c>
      <c r="L54" s="1406" t="str">
        <f t="shared" si="0"/>
        <v/>
      </c>
      <c r="M54" s="1406"/>
      <c r="N54" s="1411"/>
      <c r="O54" s="395"/>
      <c r="P54" s="395"/>
      <c r="S54" s="1406"/>
      <c r="V54" s="402"/>
      <c r="AB54" s="1402"/>
      <c r="AC54" s="1402"/>
      <c r="AD54" s="1402"/>
      <c r="AE54" s="1402"/>
      <c r="AF54" s="1402"/>
    </row>
    <row r="55" spans="1:32" s="1687" customFormat="1" ht="22.5" customHeight="1">
      <c r="A55" s="771"/>
      <c r="C55" s="1406"/>
      <c r="D55" s="433"/>
      <c r="E55" s="404" t="str">
        <f>FHD_NUM_P_19</f>
        <v>2.8</v>
      </c>
      <c r="F55" s="1294" t="str">
        <f>FHD_P_19</f>
        <v>Расходы на амортизацию основных средств и нематериальных активов</v>
      </c>
      <c r="G55" s="1609" t="s">
        <v>470</v>
      </c>
      <c r="H55" s="415"/>
      <c r="I55" s="415"/>
      <c r="J55" s="1725"/>
      <c r="K55" s="165" t="str">
        <f>FHD_NOTE_P_19</f>
        <v/>
      </c>
      <c r="L55" s="1406" t="str">
        <f t="shared" si="0"/>
        <v>p</v>
      </c>
      <c r="M55" s="1406"/>
      <c r="N55" s="1406"/>
      <c r="S55" s="1406"/>
      <c r="V55" s="402"/>
      <c r="AB55" s="1402"/>
      <c r="AC55" s="1402"/>
      <c r="AD55" s="1402"/>
      <c r="AE55" s="1402"/>
      <c r="AF55" s="1402"/>
    </row>
    <row r="56" spans="1:32" s="1687" customFormat="1" ht="11.25" customHeight="1">
      <c r="A56" s="771"/>
      <c r="C56" s="1406"/>
      <c r="D56" s="433"/>
      <c r="E56" s="404" t="str">
        <f>FHD_NUM_P_20</f>
        <v>2.8.1</v>
      </c>
      <c r="F56" s="1419" t="str">
        <f>FHD_P_20</f>
        <v>Расходы на амортизацию основных средств</v>
      </c>
      <c r="G56" s="1609" t="s">
        <v>470</v>
      </c>
      <c r="H56" s="415"/>
      <c r="I56" s="415"/>
      <c r="J56" s="1725"/>
      <c r="K56" s="165" t="str">
        <f>FHD_NOTE_P_20</f>
        <v/>
      </c>
      <c r="L56" s="1406" t="str">
        <f t="shared" si="0"/>
        <v/>
      </c>
      <c r="M56" s="1406"/>
      <c r="N56" s="1406"/>
      <c r="S56" s="1406"/>
      <c r="V56" s="402"/>
      <c r="AB56" s="1402"/>
      <c r="AC56" s="1402"/>
      <c r="AD56" s="1402"/>
      <c r="AE56" s="1402"/>
      <c r="AF56" s="1402"/>
    </row>
    <row r="57" spans="1:32" s="1687" customFormat="1" ht="11.25" customHeight="1">
      <c r="A57" s="771"/>
      <c r="C57" s="1406"/>
      <c r="D57" s="433"/>
      <c r="E57" s="404" t="str">
        <f>FHD_NUM_P_21</f>
        <v>2.8.2</v>
      </c>
      <c r="F57" s="1419" t="str">
        <f>FHD_P_21</f>
        <v>Расходы на амортизацию нематериальных активов</v>
      </c>
      <c r="G57" s="1609" t="s">
        <v>470</v>
      </c>
      <c r="H57" s="415"/>
      <c r="I57" s="415"/>
      <c r="J57" s="1725"/>
      <c r="K57" s="165" t="str">
        <f>FHD_NOTE_P_21</f>
        <v/>
      </c>
      <c r="L57" s="1406" t="str">
        <f t="shared" si="0"/>
        <v/>
      </c>
      <c r="M57" s="1406"/>
      <c r="N57" s="1406"/>
      <c r="S57" s="1406"/>
      <c r="V57" s="402"/>
      <c r="AB57" s="1402"/>
      <c r="AC57" s="1402"/>
      <c r="AD57" s="1402"/>
      <c r="AE57" s="1402"/>
      <c r="AF57" s="1402"/>
    </row>
    <row r="58" spans="1:32" s="1687" customFormat="1" ht="22.5" customHeight="1">
      <c r="A58" s="771"/>
      <c r="C58" s="1406"/>
      <c r="D58" s="1408"/>
      <c r="E58" s="404" t="str">
        <f>FHD_NUM_P_22</f>
        <v>2.9</v>
      </c>
      <c r="F58" s="1294" t="str">
        <f>FHD_P_22</f>
        <v>Расходы на аренду имущества, используемого для осуществления регулируемого вида деятельности</v>
      </c>
      <c r="G58" s="1609" t="s">
        <v>470</v>
      </c>
      <c r="H58" s="415"/>
      <c r="I58" s="415"/>
      <c r="J58" s="1725"/>
      <c r="K58" s="165" t="str">
        <f>FHD_NOTE_P_22</f>
        <v/>
      </c>
      <c r="L58" s="1406" t="str">
        <f t="shared" si="0"/>
        <v>p</v>
      </c>
      <c r="M58" s="1406"/>
      <c r="N58" s="1406"/>
      <c r="S58" s="1406"/>
      <c r="V58" s="402"/>
      <c r="AB58" s="1402"/>
      <c r="AC58" s="1402"/>
      <c r="AD58" s="1402"/>
      <c r="AE58" s="1402"/>
      <c r="AF58" s="1402"/>
    </row>
    <row r="59" spans="1:32" s="1687" customFormat="1" ht="11.25" customHeight="1">
      <c r="A59" s="771"/>
      <c r="C59" s="1406"/>
      <c r="D59" s="433"/>
      <c r="E59" s="404" t="str">
        <f>FHD_NUM_P_23</f>
        <v>2.10</v>
      </c>
      <c r="F59" s="1294" t="str">
        <f>FHD_P_23</f>
        <v>Общепроизводственные расходы, в том числе:</v>
      </c>
      <c r="G59" s="1609" t="s">
        <v>470</v>
      </c>
      <c r="H59" s="415"/>
      <c r="I59" s="415"/>
      <c r="J59" s="1725"/>
      <c r="K59" s="165" t="str">
        <f>FHD_NOTE_P_23</f>
        <v>Указывается общая сумма общепроизводственных расходов.</v>
      </c>
      <c r="L59" s="1406" t="str">
        <f t="shared" si="0"/>
        <v>p</v>
      </c>
      <c r="M59" s="1406"/>
      <c r="N59" s="1406"/>
      <c r="S59" s="1406"/>
      <c r="V59" s="402"/>
      <c r="AB59" s="1402"/>
      <c r="AC59" s="1402"/>
      <c r="AD59" s="1402"/>
      <c r="AE59" s="1402"/>
      <c r="AF59" s="1402"/>
    </row>
    <row r="60" spans="1:32" s="1687" customFormat="1" ht="11.25" customHeight="1">
      <c r="A60" s="771"/>
      <c r="C60" s="1406"/>
      <c r="D60" s="433"/>
      <c r="E60" s="404" t="str">
        <f>FHD_NUM_P_24</f>
        <v>2.10.1</v>
      </c>
      <c r="F60" s="1419" t="str">
        <f>FHD_P_24</f>
        <v>Расходы на текущий ремонт</v>
      </c>
      <c r="G60" s="1609" t="s">
        <v>470</v>
      </c>
      <c r="H60" s="415"/>
      <c r="I60" s="415"/>
      <c r="J60" s="1725"/>
      <c r="K60" s="165" t="str">
        <f>FHD_NOTE_P_24</f>
        <v>Указываются расходы на текущий ремонт, отнесенные к общепроизводственным расходам.</v>
      </c>
      <c r="L60" s="1406" t="str">
        <f t="shared" si="0"/>
        <v/>
      </c>
      <c r="M60" s="1406"/>
      <c r="N60" s="1406"/>
      <c r="S60" s="1406"/>
      <c r="V60" s="402"/>
      <c r="AB60" s="1402"/>
      <c r="AC60" s="1402"/>
      <c r="AD60" s="1402"/>
      <c r="AE60" s="1402"/>
      <c r="AF60" s="1402"/>
    </row>
    <row r="61" spans="1:32" s="1687" customFormat="1" ht="11.25" customHeight="1">
      <c r="A61" s="771"/>
      <c r="C61" s="1406"/>
      <c r="D61" s="433"/>
      <c r="E61" s="404" t="str">
        <f>FHD_NUM_P_25</f>
        <v>2.10.2</v>
      </c>
      <c r="F61" s="1419" t="str">
        <f>FHD_P_25</f>
        <v>Расходы на капитальный ремонт</v>
      </c>
      <c r="G61" s="1609" t="s">
        <v>470</v>
      </c>
      <c r="H61" s="415"/>
      <c r="I61" s="415"/>
      <c r="J61" s="1725"/>
      <c r="K61" s="165" t="str">
        <f>FHD_NOTE_P_25</f>
        <v>Указываются расходы на капитальный ремонт, отнесенные к общепроизводственным расходам.</v>
      </c>
      <c r="L61" s="1406" t="str">
        <f t="shared" si="0"/>
        <v/>
      </c>
      <c r="M61" s="1406"/>
      <c r="N61" s="1406"/>
      <c r="S61" s="1406"/>
      <c r="V61" s="402"/>
      <c r="AB61" s="1402"/>
      <c r="AC61" s="1402"/>
      <c r="AD61" s="1402"/>
      <c r="AE61" s="1402"/>
      <c r="AF61" s="1402"/>
    </row>
    <row r="62" spans="1:32" s="1687" customFormat="1" ht="11.25" customHeight="1">
      <c r="A62" s="771"/>
      <c r="C62" s="1406"/>
      <c r="D62" s="1408"/>
      <c r="E62" s="404" t="str">
        <f>FHD_NUM_P_26</f>
        <v>2.11</v>
      </c>
      <c r="F62" s="1294" t="str">
        <f>FHD_P_26</f>
        <v>Общехозяйственные расходы, в том числе:</v>
      </c>
      <c r="G62" s="1609" t="s">
        <v>470</v>
      </c>
      <c r="H62" s="415"/>
      <c r="I62" s="415"/>
      <c r="J62" s="1725"/>
      <c r="K62" s="165" t="str">
        <f>FHD_NOTE_P_26</f>
        <v>Указывается общая сумма общехозяйственных расходов.</v>
      </c>
      <c r="L62" s="1406" t="str">
        <f t="shared" si="0"/>
        <v>p</v>
      </c>
      <c r="M62" s="1406"/>
      <c r="N62" s="1406"/>
      <c r="S62" s="1406"/>
      <c r="V62" s="402"/>
      <c r="AB62" s="1402"/>
      <c r="AC62" s="1402"/>
      <c r="AD62" s="1402"/>
      <c r="AE62" s="1402"/>
      <c r="AF62" s="1402"/>
    </row>
    <row r="63" spans="1:32" s="1687" customFormat="1" ht="11.25" customHeight="1">
      <c r="A63" s="771"/>
      <c r="C63" s="1406"/>
      <c r="D63" s="1408"/>
      <c r="E63" s="404" t="str">
        <f>FHD_NUM_P_27</f>
        <v>2.11.1</v>
      </c>
      <c r="F63" s="1419" t="str">
        <f>FHD_P_27</f>
        <v>Расходы на текущий ремонт</v>
      </c>
      <c r="G63" s="1609" t="s">
        <v>470</v>
      </c>
      <c r="H63" s="415"/>
      <c r="I63" s="415"/>
      <c r="J63" s="1725"/>
      <c r="K63" s="165" t="str">
        <f>FHD_NOTE_P_27</f>
        <v>Указываются расходы на текущий ремонт, отнесенные к общехозяйственным расходам.</v>
      </c>
      <c r="L63" s="1406" t="str">
        <f t="shared" si="0"/>
        <v/>
      </c>
      <c r="M63" s="1406"/>
      <c r="N63" s="1406"/>
      <c r="S63" s="1406"/>
      <c r="V63" s="402"/>
      <c r="AB63" s="1402"/>
      <c r="AC63" s="1402"/>
      <c r="AD63" s="1402"/>
      <c r="AE63" s="1402"/>
      <c r="AF63" s="1402"/>
    </row>
    <row r="64" spans="1:32" s="1687" customFormat="1" ht="11.25" customHeight="1">
      <c r="A64" s="771"/>
      <c r="C64" s="1406"/>
      <c r="D64" s="1408"/>
      <c r="E64" s="404" t="str">
        <f>FHD_NUM_P_28</f>
        <v>2.11.2</v>
      </c>
      <c r="F64" s="1419" t="str">
        <f>FHD_P_28</f>
        <v>Расходы на капитальный ремонт</v>
      </c>
      <c r="G64" s="1609" t="s">
        <v>470</v>
      </c>
      <c r="H64" s="415"/>
      <c r="I64" s="415"/>
      <c r="J64" s="1725"/>
      <c r="K64" s="165" t="str">
        <f>FHD_NOTE_P_28</f>
        <v>Указываются расходы на капитальный ремонт, отнесенные к общехозяйственным расходам.</v>
      </c>
      <c r="L64" s="1406" t="str">
        <f t="shared" si="0"/>
        <v/>
      </c>
      <c r="M64" s="1406"/>
      <c r="N64" s="1406"/>
      <c r="S64" s="1406"/>
      <c r="V64" s="402"/>
      <c r="AB64" s="1402"/>
      <c r="AC64" s="1402"/>
      <c r="AD64" s="1402"/>
      <c r="AE64" s="1402"/>
      <c r="AF64" s="1402"/>
    </row>
    <row r="65" spans="1:32" s="1687" customFormat="1" ht="22.5" customHeight="1">
      <c r="A65" s="771"/>
      <c r="C65" s="1406"/>
      <c r="D65" s="1408"/>
      <c r="E65" s="404" t="str">
        <f>FHD_NUM_P_29</f>
        <v>2.12</v>
      </c>
      <c r="F65" s="1294" t="str">
        <f>FHD_P_29</f>
        <v>Расходы на капитальный и текущий ремонт основных средств</v>
      </c>
      <c r="G65" s="1609" t="s">
        <v>470</v>
      </c>
      <c r="H65" s="415"/>
      <c r="I65" s="415"/>
      <c r="J65" s="1725"/>
      <c r="K65" s="16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406" t="str">
        <f t="shared" si="0"/>
        <v>p</v>
      </c>
      <c r="M65" s="1406"/>
      <c r="N65" s="1406"/>
      <c r="S65" s="1406"/>
      <c r="V65" s="402"/>
      <c r="AB65" s="1402"/>
      <c r="AC65" s="1402"/>
      <c r="AD65" s="1402"/>
      <c r="AE65" s="1402"/>
      <c r="AF65" s="1402"/>
    </row>
    <row r="66" spans="1:32" s="1687" customFormat="1" ht="45" customHeight="1">
      <c r="A66" s="771"/>
      <c r="C66" s="1406"/>
      <c r="D66" s="1408"/>
      <c r="E66" s="404" t="str">
        <f>FHD_NUM_P_30</f>
        <v>2.12.1</v>
      </c>
      <c r="F66" s="141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09" t="s">
        <v>230</v>
      </c>
      <c r="H66" s="1418" t="s">
        <v>493</v>
      </c>
      <c r="I66" s="1418" t="s">
        <v>493</v>
      </c>
      <c r="J66" s="1732" t="s">
        <v>493</v>
      </c>
      <c r="K66" s="165" t="str">
        <f>FHD_NOTE_P_30</f>
        <v/>
      </c>
      <c r="L66" s="1406" t="str">
        <f t="shared" si="0"/>
        <v/>
      </c>
      <c r="M66" s="1406">
        <f>IFERROR(MATCH("есть",B_FHD_FLAG_INDEX_1,0),0)</f>
        <v>0</v>
      </c>
      <c r="N66" s="1406"/>
      <c r="S66" s="1406"/>
      <c r="V66" s="402"/>
      <c r="AB66" s="1402"/>
      <c r="AC66" s="1402"/>
      <c r="AD66" s="1402"/>
      <c r="AE66" s="1402"/>
      <c r="AF66" s="1402"/>
    </row>
    <row r="67" spans="1:32" s="1687" customFormat="1" ht="22.5" hidden="1" customHeight="1">
      <c r="A67" s="2187" t="s">
        <v>494</v>
      </c>
      <c r="C67" s="1406"/>
      <c r="D67" s="1408"/>
      <c r="E67" s="404" t="str">
        <f>FHD_NUM_P_31</f>
        <v/>
      </c>
      <c r="F67" s="1294" t="str">
        <f>FHD_P_31</f>
        <v/>
      </c>
      <c r="G67" s="1609" t="s">
        <v>470</v>
      </c>
      <c r="H67" s="415"/>
      <c r="I67" s="415"/>
      <c r="J67" s="1725"/>
      <c r="K67" s="165" t="str">
        <f>FHD_NOTE_P_31</f>
        <v/>
      </c>
      <c r="L67" s="1406" t="str">
        <f t="shared" si="0"/>
        <v/>
      </c>
      <c r="M67" s="1406"/>
      <c r="N67" s="1406"/>
      <c r="S67" s="1406"/>
      <c r="V67" s="402"/>
      <c r="AB67" s="1402"/>
      <c r="AC67" s="1402"/>
      <c r="AD67" s="1402"/>
      <c r="AE67" s="1402"/>
      <c r="AF67" s="1402"/>
    </row>
    <row r="68" spans="1:32" s="1687" customFormat="1" ht="45" hidden="1" customHeight="1">
      <c r="A68" s="2187"/>
      <c r="C68" s="1406"/>
      <c r="D68" s="1408"/>
      <c r="E68" s="404" t="str">
        <f>FHD_NUM_P_32</f>
        <v/>
      </c>
      <c r="F68" s="1419" t="str">
        <f>FHD_P_32</f>
        <v/>
      </c>
      <c r="G68" s="1609" t="s">
        <v>230</v>
      </c>
      <c r="H68" s="1418" t="s">
        <v>493</v>
      </c>
      <c r="I68" s="1418" t="s">
        <v>493</v>
      </c>
      <c r="J68" s="1732" t="s">
        <v>493</v>
      </c>
      <c r="K68" s="165" t="str">
        <f>FHD_NOTE_P_32</f>
        <v/>
      </c>
      <c r="L68" s="1406" t="str">
        <f t="shared" si="0"/>
        <v/>
      </c>
      <c r="M68" s="1406">
        <f>IFERROR(MATCH("есть",B_FHD_FLAG_INDEX_2,0),0)</f>
        <v>0</v>
      </c>
      <c r="N68" s="1406"/>
      <c r="S68" s="1406"/>
      <c r="V68" s="402"/>
      <c r="AB68" s="1402"/>
      <c r="AC68" s="1402"/>
      <c r="AD68" s="1402"/>
      <c r="AE68" s="1402"/>
      <c r="AF68" s="1402"/>
    </row>
    <row r="69" spans="1:32" s="1687" customFormat="1" ht="33.75" customHeight="1">
      <c r="A69" s="771"/>
      <c r="C69" s="1406"/>
      <c r="D69" s="1408"/>
      <c r="E69" s="404" t="str">
        <f>FHD_NUM_P_33</f>
        <v>2.13</v>
      </c>
      <c r="F69" s="12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10" t="s">
        <v>470</v>
      </c>
      <c r="H69" s="437">
        <f>SUM(H70:H71)</f>
        <v>0</v>
      </c>
      <c r="I69" s="437">
        <f>SUM(I70:I71)</f>
        <v>0</v>
      </c>
      <c r="J69" s="1733">
        <f>SUM(J70:J71)</f>
        <v>0</v>
      </c>
      <c r="K69" s="16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406" t="str">
        <f t="shared" si="0"/>
        <v>p</v>
      </c>
      <c r="M69" s="1406"/>
      <c r="N69" s="1406"/>
      <c r="S69" s="1406"/>
      <c r="V69" s="402"/>
      <c r="AB69" s="1402"/>
      <c r="AC69" s="1402"/>
      <c r="AD69" s="1402"/>
      <c r="AE69" s="1402"/>
      <c r="AF69" s="1402"/>
    </row>
    <row r="70" spans="1:32" s="1710" customFormat="1" ht="0.75" customHeight="1">
      <c r="A70" s="935"/>
      <c r="D70" s="406"/>
      <c r="E70" s="796" t="str">
        <f>E69&amp;".0"</f>
        <v>2.13.0</v>
      </c>
      <c r="F70" s="775"/>
      <c r="G70" s="796"/>
      <c r="H70" s="776"/>
      <c r="I70" s="776"/>
      <c r="J70" s="1734"/>
      <c r="K70" s="777"/>
      <c r="L70" s="1406" t="str">
        <f t="shared" si="0"/>
        <v/>
      </c>
    </row>
    <row r="71" spans="1:32" s="1687" customFormat="1" ht="14.25" customHeight="1">
      <c r="A71" s="771"/>
      <c r="C71" s="1406"/>
      <c r="D71" s="1403"/>
      <c r="E71" s="428"/>
      <c r="F71" s="429" t="s">
        <v>495</v>
      </c>
      <c r="G71" s="430"/>
      <c r="H71" s="431"/>
      <c r="I71" s="431"/>
      <c r="J71" s="1735"/>
      <c r="K71" s="176"/>
      <c r="L71" s="1406"/>
      <c r="M71" s="1406"/>
      <c r="N71" s="1406"/>
      <c r="S71" s="1406"/>
      <c r="V71" s="402"/>
      <c r="AB71" s="1402"/>
      <c r="AC71" s="1402"/>
      <c r="AD71" s="1402"/>
      <c r="AE71" s="1402"/>
      <c r="AF71" s="1402"/>
    </row>
    <row r="72" spans="1:32" s="1687" customFormat="1" ht="18.75" customHeight="1">
      <c r="A72" s="773" t="s">
        <v>496</v>
      </c>
      <c r="C72" s="1406"/>
      <c r="D72" s="1408"/>
      <c r="E72" s="404" t="str">
        <f>FHD_NUM_P_34</f>
        <v>3</v>
      </c>
      <c r="F72" s="1611" t="str">
        <f>FHD_P_34</f>
        <v>Валовая прибыль (убытки) от реализации товаров и оказания услуг по регулируемому виду деятельности</v>
      </c>
      <c r="G72" s="1609" t="s">
        <v>470</v>
      </c>
      <c r="H72" s="415"/>
      <c r="I72" s="415"/>
      <c r="J72" s="1725"/>
      <c r="K72" s="165" t="str">
        <f>FHD_NOTE_P_34</f>
        <v/>
      </c>
      <c r="L72" s="401"/>
      <c r="M72" s="1406"/>
      <c r="N72" s="1406"/>
      <c r="S72" s="1406"/>
      <c r="V72" s="402"/>
      <c r="AB72" s="1402"/>
      <c r="AC72" s="1402"/>
      <c r="AD72" s="1402"/>
      <c r="AE72" s="1402"/>
      <c r="AF72" s="1402"/>
    </row>
    <row r="73" spans="1:32" s="1687" customFormat="1" ht="22.5" customHeight="1">
      <c r="A73" s="771"/>
      <c r="C73" s="1406"/>
      <c r="D73" s="433"/>
      <c r="E73" s="404" t="str">
        <f>FHD_NUM_P_35</f>
        <v>4</v>
      </c>
      <c r="F73" s="1611" t="str">
        <f>FHD_P_35</f>
        <v>Чистая прибыль, полученная от регулируемого вида деятельности, в том числе:</v>
      </c>
      <c r="G73" s="1609" t="s">
        <v>470</v>
      </c>
      <c r="H73" s="415"/>
      <c r="I73" s="415"/>
      <c r="J73" s="1725"/>
      <c r="K73" s="165" t="str">
        <f>FHD_NOTE_P_35</f>
        <v>Указывается общая сумма чистой прибыли, полученной от регулируемого вида деятельности.</v>
      </c>
      <c r="L73" s="401"/>
      <c r="M73" s="1406"/>
      <c r="N73" s="1406"/>
      <c r="S73" s="1406"/>
      <c r="V73" s="402"/>
      <c r="AB73" s="1402"/>
      <c r="AC73" s="1402"/>
      <c r="AD73" s="1402"/>
      <c r="AE73" s="1402"/>
      <c r="AF73" s="1402"/>
    </row>
    <row r="74" spans="1:32" s="1687" customFormat="1" ht="33.75" customHeight="1">
      <c r="A74" s="771"/>
      <c r="C74" s="1406"/>
      <c r="D74" s="1408"/>
      <c r="E74" s="404" t="str">
        <f>FHD_NUM_P_36</f>
        <v>4.1</v>
      </c>
      <c r="F74" s="12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09" t="s">
        <v>470</v>
      </c>
      <c r="H74" s="415"/>
      <c r="I74" s="415"/>
      <c r="J74" s="1725"/>
      <c r="K74" s="165" t="str">
        <f>FHD_NOTE_P_36</f>
        <v/>
      </c>
      <c r="L74" s="401"/>
      <c r="M74" s="1406"/>
      <c r="N74" s="1406"/>
      <c r="S74" s="1406"/>
      <c r="V74" s="402"/>
      <c r="AB74" s="1402"/>
      <c r="AC74" s="1402"/>
      <c r="AD74" s="1402"/>
      <c r="AE74" s="1402"/>
      <c r="AF74" s="1402"/>
    </row>
    <row r="75" spans="1:32" s="1687" customFormat="1" ht="18.75" customHeight="1">
      <c r="A75" s="771"/>
      <c r="C75" s="1406"/>
      <c r="D75" s="1408"/>
      <c r="E75" s="404" t="str">
        <f>FHD_NUM_P_37</f>
        <v>5</v>
      </c>
      <c r="F75" s="1611" t="str">
        <f>FHD_P_37</f>
        <v>Изменение стоимости основных фондов, в том числе:</v>
      </c>
      <c r="G75" s="1609" t="s">
        <v>470</v>
      </c>
      <c r="H75" s="415"/>
      <c r="I75" s="415"/>
      <c r="J75" s="1725"/>
      <c r="K75" s="165" t="str">
        <f>FHD_NOTE_P_37</f>
        <v>Указывается общее изменение стоимости основных фондов.</v>
      </c>
      <c r="L75" s="401"/>
      <c r="M75" s="1406"/>
      <c r="N75" s="1406"/>
      <c r="S75" s="1406"/>
      <c r="V75" s="402"/>
      <c r="AB75" s="1402"/>
      <c r="AC75" s="1402"/>
      <c r="AD75" s="1402"/>
      <c r="AE75" s="1402"/>
      <c r="AF75" s="1402"/>
    </row>
    <row r="76" spans="1:32" s="1687" customFormat="1" ht="18.75" customHeight="1">
      <c r="A76" s="771"/>
      <c r="C76" s="1406"/>
      <c r="D76" s="1408"/>
      <c r="E76" s="404" t="str">
        <f>FHD_NUM_P_38</f>
        <v>5.1</v>
      </c>
      <c r="F76" s="1294" t="str">
        <f>FHD_P_38</f>
        <v>Изменение стоимости основных фондов за счет:</v>
      </c>
      <c r="G76" s="1609" t="s">
        <v>470</v>
      </c>
      <c r="H76" s="415"/>
      <c r="I76" s="415"/>
      <c r="J76" s="1725"/>
      <c r="K76" s="165" t="str">
        <f>FHD_NOTE_P_38</f>
        <v>Указываются общее изменение стоимости основных фондов за счет их ввода в эксплуатацию и вывода из эксплуатации.</v>
      </c>
      <c r="L76" s="401"/>
      <c r="M76" s="1406"/>
      <c r="N76" s="1406"/>
      <c r="S76" s="1406"/>
      <c r="V76" s="402"/>
      <c r="AB76" s="1402"/>
      <c r="AC76" s="1402"/>
      <c r="AD76" s="1402"/>
      <c r="AE76" s="1402"/>
      <c r="AF76" s="1402"/>
    </row>
    <row r="77" spans="1:32" s="1687" customFormat="1" ht="22.5" customHeight="1">
      <c r="A77" s="771"/>
      <c r="C77" s="1406"/>
      <c r="D77" s="1408"/>
      <c r="E77" s="404" t="str">
        <f>FHD_NUM_P_39</f>
        <v>5.1.1</v>
      </c>
      <c r="F77" s="1419" t="str">
        <f>FHD_P_39</f>
        <v>Изменения стоимости основных фондов за счет их ввода в эксплуатацию</v>
      </c>
      <c r="G77" s="1609" t="s">
        <v>470</v>
      </c>
      <c r="H77" s="415"/>
      <c r="I77" s="415"/>
      <c r="J77" s="1725"/>
      <c r="K77" s="165" t="str">
        <f>FHD_NOTE_P_39</f>
        <v>Указываются изменение стоимости основных фондов за счет их ввода в эксплуатацию.</v>
      </c>
      <c r="L77" s="401"/>
      <c r="M77" s="1406"/>
      <c r="N77" s="1406"/>
      <c r="S77" s="1406"/>
      <c r="V77" s="402"/>
      <c r="AB77" s="1402"/>
      <c r="AC77" s="1402"/>
      <c r="AD77" s="1402"/>
      <c r="AE77" s="1402"/>
      <c r="AF77" s="1402"/>
    </row>
    <row r="78" spans="1:32" s="1687" customFormat="1" ht="22.5" customHeight="1">
      <c r="A78" s="771"/>
      <c r="C78" s="1406"/>
      <c r="D78" s="1408"/>
      <c r="E78" s="404" t="str">
        <f>FHD_NUM_P_40</f>
        <v>5.1.2</v>
      </c>
      <c r="F78" s="1419" t="str">
        <f>FHD_P_40</f>
        <v>Изменения стоимости основных фондов за счет их вывода в эксплуатацию</v>
      </c>
      <c r="G78" s="1609" t="s">
        <v>470</v>
      </c>
      <c r="H78" s="415"/>
      <c r="I78" s="415"/>
      <c r="J78" s="1725"/>
      <c r="K78" s="165" t="str">
        <f>FHD_NOTE_P_40</f>
        <v>Указываются изменение стоимости основных фондов за счет их вывода из эксплуатации.</v>
      </c>
      <c r="L78" s="401"/>
      <c r="M78" s="1406"/>
      <c r="N78" s="1406"/>
      <c r="S78" s="1406"/>
      <c r="V78" s="402"/>
      <c r="AB78" s="1402"/>
      <c r="AC78" s="1402"/>
      <c r="AD78" s="1402"/>
      <c r="AE78" s="1402"/>
      <c r="AF78" s="1402"/>
    </row>
    <row r="79" spans="1:32" s="1687" customFormat="1" ht="22.5" customHeight="1">
      <c r="A79" s="771"/>
      <c r="C79" s="1406"/>
      <c r="D79" s="1408"/>
      <c r="E79" s="404" t="str">
        <f>FHD_NUM_P_41</f>
        <v>5.2</v>
      </c>
      <c r="F79" s="1294" t="str">
        <f>FHD_P_41</f>
        <v>Изменение стоимости основных фондов за счет их переоценки</v>
      </c>
      <c r="G79" s="1610" t="s">
        <v>470</v>
      </c>
      <c r="H79" s="415"/>
      <c r="I79" s="415"/>
      <c r="J79" s="1725"/>
      <c r="K79" s="165" t="str">
        <f>FHD_NOTE_P_41</f>
        <v/>
      </c>
      <c r="L79" s="401"/>
      <c r="M79" s="1406"/>
      <c r="N79" s="1406"/>
      <c r="S79" s="1406"/>
      <c r="V79" s="402"/>
      <c r="AB79" s="1402"/>
      <c r="AC79" s="1402"/>
      <c r="AD79" s="1402"/>
      <c r="AE79" s="1402"/>
      <c r="AF79" s="1402"/>
    </row>
    <row r="80" spans="1:32" s="1687" customFormat="1" ht="18.75" hidden="1" customHeight="1">
      <c r="A80" s="773" t="s">
        <v>497</v>
      </c>
      <c r="C80" s="1406"/>
      <c r="D80" s="1408"/>
      <c r="E80" s="404" t="str">
        <f>FHD_NUM_P_42</f>
        <v/>
      </c>
      <c r="F80" s="1611" t="str">
        <f>FHD_P_42</f>
        <v/>
      </c>
      <c r="G80" s="1609" t="s">
        <v>470</v>
      </c>
      <c r="H80" s="761"/>
      <c r="I80" s="415"/>
      <c r="J80" s="1736"/>
      <c r="K80" s="165" t="str">
        <f>FHD_NOTE_P_42</f>
        <v/>
      </c>
      <c r="L80" s="401"/>
      <c r="M80" s="1406"/>
      <c r="N80" s="1406"/>
      <c r="S80" s="1406"/>
      <c r="V80" s="402"/>
      <c r="AB80" s="1402"/>
      <c r="AC80" s="1402"/>
      <c r="AD80" s="1402"/>
      <c r="AE80" s="1402"/>
      <c r="AF80" s="1402"/>
    </row>
    <row r="81" spans="1:32" s="1687" customFormat="1" ht="33.75" customHeight="1">
      <c r="A81" s="771"/>
      <c r="C81" s="1406"/>
      <c r="D81" s="1408"/>
      <c r="E81" s="404" t="str">
        <f>FHD_NUM_P_43</f>
        <v>6</v>
      </c>
      <c r="F81" s="1611" t="str">
        <f>FHD_P_43</f>
        <v>Годовая бухгалтерская (финансовая) отчетность, включая бухгалтерский баланс и приложения к нему</v>
      </c>
      <c r="G81" s="1609" t="s">
        <v>230</v>
      </c>
      <c r="H81" s="835"/>
      <c r="I81" s="622"/>
      <c r="J81" s="1737"/>
      <c r="K81" s="16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01"/>
      <c r="M81" s="1406"/>
      <c r="N81" s="1406"/>
      <c r="S81" s="1406"/>
      <c r="V81" s="402"/>
      <c r="AB81" s="1402"/>
      <c r="AC81" s="1402"/>
      <c r="AD81" s="1402"/>
      <c r="AE81" s="1402"/>
      <c r="AF81" s="1402"/>
    </row>
    <row r="82" spans="1:32" s="1738" customFormat="1" ht="18.75" hidden="1" customHeight="1">
      <c r="A82" s="2187" t="s">
        <v>498</v>
      </c>
      <c r="C82" s="562"/>
      <c r="D82" s="560"/>
      <c r="E82" s="404" t="str">
        <f>FHD_NUM_P_44</f>
        <v/>
      </c>
      <c r="F82" s="1611" t="str">
        <f>FHD_P_44</f>
        <v/>
      </c>
      <c r="G82" s="1612" t="s">
        <v>499</v>
      </c>
      <c r="H82" s="762"/>
      <c r="I82" s="435"/>
      <c r="J82" s="1739"/>
      <c r="K82" s="165" t="str">
        <f>FHD_NOTE_P_44</f>
        <v/>
      </c>
      <c r="L82" s="561"/>
      <c r="M82" s="562"/>
      <c r="N82" s="562"/>
      <c r="S82" s="562"/>
      <c r="V82" s="563"/>
      <c r="AB82" s="564"/>
      <c r="AC82" s="564"/>
      <c r="AD82" s="564"/>
      <c r="AE82" s="564"/>
      <c r="AF82" s="564"/>
    </row>
    <row r="83" spans="1:32" s="1738" customFormat="1" ht="18.75" hidden="1" customHeight="1">
      <c r="A83" s="2187"/>
      <c r="C83" s="562"/>
      <c r="D83" s="560"/>
      <c r="E83" s="404" t="str">
        <f>FHD_NUM_P_45</f>
        <v/>
      </c>
      <c r="F83" s="1611" t="str">
        <f>FHD_P_45</f>
        <v/>
      </c>
      <c r="G83" s="1612" t="s">
        <v>499</v>
      </c>
      <c r="H83" s="762"/>
      <c r="I83" s="435"/>
      <c r="J83" s="1739"/>
      <c r="K83" s="165" t="str">
        <f>FHD_NOTE_P_45</f>
        <v/>
      </c>
      <c r="L83" s="561"/>
      <c r="M83" s="562"/>
      <c r="N83" s="562"/>
      <c r="S83" s="562"/>
      <c r="V83" s="563"/>
      <c r="AB83" s="564"/>
      <c r="AC83" s="564"/>
      <c r="AD83" s="564"/>
      <c r="AE83" s="564"/>
      <c r="AF83" s="564"/>
    </row>
    <row r="84" spans="1:32" s="1738" customFormat="1" ht="18.75" hidden="1" customHeight="1">
      <c r="A84" s="2187"/>
      <c r="C84" s="562"/>
      <c r="D84" s="565"/>
      <c r="E84" s="404" t="str">
        <f>FHD_NUM_P_46</f>
        <v/>
      </c>
      <c r="F84" s="1611" t="str">
        <f>FHD_P_46</f>
        <v/>
      </c>
      <c r="G84" s="1612" t="s">
        <v>499</v>
      </c>
      <c r="H84" s="762"/>
      <c r="I84" s="435"/>
      <c r="J84" s="1739"/>
      <c r="K84" s="165" t="str">
        <f>FHD_NOTE_P_46</f>
        <v/>
      </c>
      <c r="L84" s="561"/>
      <c r="M84" s="562"/>
      <c r="N84" s="562"/>
      <c r="S84" s="562"/>
      <c r="V84" s="563"/>
      <c r="AB84" s="564"/>
      <c r="AC84" s="564"/>
      <c r="AD84" s="564"/>
      <c r="AE84" s="564"/>
      <c r="AF84" s="564"/>
    </row>
    <row r="85" spans="1:32" s="1738" customFormat="1" ht="18.75" hidden="1" customHeight="1">
      <c r="A85" s="2187"/>
      <c r="C85" s="562"/>
      <c r="D85" s="560"/>
      <c r="E85" s="404" t="str">
        <f>FHD_NUM_P_47</f>
        <v/>
      </c>
      <c r="F85" s="1611" t="str">
        <f>FHD_P_47</f>
        <v/>
      </c>
      <c r="G85" s="1612" t="s">
        <v>499</v>
      </c>
      <c r="H85" s="762"/>
      <c r="I85" s="435"/>
      <c r="J85" s="1739"/>
      <c r="K85" s="165" t="str">
        <f>FHD_NOTE_P_47</f>
        <v/>
      </c>
      <c r="L85" s="561"/>
      <c r="M85" s="562"/>
      <c r="N85" s="562"/>
      <c r="S85" s="562"/>
      <c r="V85" s="563"/>
      <c r="AB85" s="564"/>
      <c r="AC85" s="564"/>
      <c r="AD85" s="564"/>
      <c r="AE85" s="564"/>
      <c r="AF85" s="564"/>
    </row>
    <row r="86" spans="1:32" s="1740" customFormat="1" ht="18.75" hidden="1" customHeight="1">
      <c r="A86" s="2187"/>
      <c r="B86" s="699"/>
      <c r="C86" s="562"/>
      <c r="D86" s="560"/>
      <c r="E86" s="404" t="str">
        <f>FHD_NUM_P_48</f>
        <v/>
      </c>
      <c r="F86" s="1611" t="str">
        <f>FHD_P_48</f>
        <v/>
      </c>
      <c r="G86" s="1612" t="s">
        <v>499</v>
      </c>
      <c r="H86" s="762"/>
      <c r="I86" s="435"/>
      <c r="J86" s="1739"/>
      <c r="K86" s="165" t="str">
        <f>FHD_NOTE_P_48</f>
        <v/>
      </c>
      <c r="L86" s="561"/>
      <c r="M86" s="562"/>
      <c r="N86" s="562"/>
      <c r="O86" s="699"/>
      <c r="P86" s="699"/>
      <c r="Q86" s="699"/>
      <c r="R86" s="699"/>
      <c r="S86" s="562"/>
      <c r="T86" s="699"/>
      <c r="U86" s="699"/>
      <c r="V86" s="563"/>
      <c r="W86" s="699"/>
      <c r="X86" s="699"/>
      <c r="Y86" s="699"/>
      <c r="Z86" s="699"/>
      <c r="AA86" s="699"/>
      <c r="AB86" s="564"/>
      <c r="AC86" s="564"/>
      <c r="AD86" s="564"/>
      <c r="AE86" s="564"/>
      <c r="AF86" s="564"/>
    </row>
    <row r="87" spans="1:32" s="1740" customFormat="1" ht="18.75" hidden="1" customHeight="1">
      <c r="A87" s="2187"/>
      <c r="B87" s="699"/>
      <c r="C87" s="562"/>
      <c r="D87" s="560"/>
      <c r="E87" s="404" t="str">
        <f>FHD_NUM_P_49</f>
        <v/>
      </c>
      <c r="F87" s="1611" t="str">
        <f>FHD_P_49</f>
        <v/>
      </c>
      <c r="G87" s="1612" t="s">
        <v>499</v>
      </c>
      <c r="H87" s="763">
        <f>SUM(H88:H89)</f>
        <v>0</v>
      </c>
      <c r="I87" s="575">
        <f>SUM(I88:I89)</f>
        <v>0</v>
      </c>
      <c r="J87" s="1741">
        <f>SUM(J88:J89)</f>
        <v>0</v>
      </c>
      <c r="K87" s="165" t="str">
        <f>FHD_NOTE_P_49</f>
        <v/>
      </c>
      <c r="L87" s="561"/>
      <c r="M87" s="562"/>
      <c r="N87" s="562"/>
      <c r="O87" s="699"/>
      <c r="P87" s="699"/>
      <c r="Q87" s="699"/>
      <c r="R87" s="699"/>
      <c r="S87" s="562"/>
      <c r="T87" s="699"/>
      <c r="U87" s="699"/>
      <c r="V87" s="563"/>
      <c r="W87" s="699"/>
      <c r="X87" s="699"/>
      <c r="Y87" s="699"/>
      <c r="Z87" s="699"/>
      <c r="AA87" s="699"/>
      <c r="AB87" s="564"/>
      <c r="AC87" s="564"/>
      <c r="AD87" s="564"/>
      <c r="AE87" s="564"/>
      <c r="AF87" s="564"/>
    </row>
    <row r="88" spans="1:32" s="1740" customFormat="1" ht="18.75" hidden="1" customHeight="1">
      <c r="A88" s="2187"/>
      <c r="B88" s="699"/>
      <c r="C88" s="562"/>
      <c r="D88" s="560"/>
      <c r="E88" s="404" t="str">
        <f>FHD_NUM_P_50</f>
        <v/>
      </c>
      <c r="F88" s="1611" t="str">
        <f>FHD_P_50</f>
        <v/>
      </c>
      <c r="G88" s="1612" t="s">
        <v>499</v>
      </c>
      <c r="H88" s="762"/>
      <c r="I88" s="435"/>
      <c r="J88" s="1739"/>
      <c r="K88" s="165" t="str">
        <f>FHD_NOTE_P_50</f>
        <v/>
      </c>
      <c r="L88" s="561"/>
      <c r="M88" s="562"/>
      <c r="N88" s="562"/>
      <c r="O88" s="699"/>
      <c r="P88" s="699"/>
      <c r="Q88" s="699"/>
      <c r="R88" s="699"/>
      <c r="S88" s="562"/>
      <c r="T88" s="699"/>
      <c r="U88" s="699"/>
      <c r="V88" s="563"/>
      <c r="W88" s="699"/>
      <c r="X88" s="699"/>
      <c r="Y88" s="699"/>
      <c r="Z88" s="699"/>
      <c r="AA88" s="699"/>
      <c r="AB88" s="564"/>
      <c r="AC88" s="564"/>
      <c r="AD88" s="564"/>
      <c r="AE88" s="564"/>
      <c r="AF88" s="564"/>
    </row>
    <row r="89" spans="1:32" s="1740" customFormat="1" ht="18.75" hidden="1" customHeight="1">
      <c r="A89" s="2187"/>
      <c r="B89" s="699"/>
      <c r="C89" s="562"/>
      <c r="D89" s="560"/>
      <c r="E89" s="404" t="str">
        <f>FHD_NUM_P_51</f>
        <v/>
      </c>
      <c r="F89" s="1611" t="str">
        <f>FHD_P_51</f>
        <v/>
      </c>
      <c r="G89" s="1612" t="s">
        <v>499</v>
      </c>
      <c r="H89" s="762"/>
      <c r="I89" s="435"/>
      <c r="J89" s="1739"/>
      <c r="K89" s="165" t="str">
        <f>FHD_NOTE_P_51</f>
        <v/>
      </c>
      <c r="L89" s="561"/>
      <c r="M89" s="562"/>
      <c r="N89" s="562"/>
      <c r="O89" s="699"/>
      <c r="P89" s="699"/>
      <c r="Q89" s="699"/>
      <c r="R89" s="699"/>
      <c r="S89" s="562"/>
      <c r="T89" s="699"/>
      <c r="U89" s="699"/>
      <c r="V89" s="563"/>
      <c r="W89" s="699"/>
      <c r="X89" s="699"/>
      <c r="Y89" s="699"/>
      <c r="Z89" s="699"/>
      <c r="AA89" s="699"/>
      <c r="AB89" s="564"/>
      <c r="AC89" s="564"/>
      <c r="AD89" s="564"/>
      <c r="AE89" s="564"/>
      <c r="AF89" s="564"/>
    </row>
    <row r="90" spans="1:32" s="1740" customFormat="1" ht="18.75" hidden="1" customHeight="1">
      <c r="A90" s="2187"/>
      <c r="B90" s="699"/>
      <c r="C90" s="562"/>
      <c r="D90" s="560"/>
      <c r="E90" s="404" t="str">
        <f>FHD_NUM_P_52</f>
        <v/>
      </c>
      <c r="F90" s="1611" t="str">
        <f>FHD_P_52</f>
        <v/>
      </c>
      <c r="G90" s="1612" t="s">
        <v>476</v>
      </c>
      <c r="H90" s="761"/>
      <c r="I90" s="415"/>
      <c r="J90" s="1736"/>
      <c r="K90" s="165" t="str">
        <f>FHD_NOTE_P_52</f>
        <v/>
      </c>
      <c r="L90" s="561"/>
      <c r="M90" s="562"/>
      <c r="N90" s="562"/>
      <c r="O90" s="699"/>
      <c r="P90" s="699"/>
      <c r="Q90" s="699"/>
      <c r="R90" s="699"/>
      <c r="S90" s="562"/>
      <c r="T90" s="699"/>
      <c r="U90" s="699"/>
      <c r="V90" s="563"/>
      <c r="W90" s="699"/>
      <c r="X90" s="699"/>
      <c r="Y90" s="699"/>
      <c r="Z90" s="699"/>
      <c r="AA90" s="699"/>
      <c r="AB90" s="564"/>
      <c r="AC90" s="564"/>
      <c r="AD90" s="564"/>
      <c r="AE90" s="564"/>
      <c r="AF90" s="564"/>
    </row>
    <row r="91" spans="1:32" s="1738" customFormat="1" ht="18.75" hidden="1" customHeight="1">
      <c r="A91" s="2187" t="s">
        <v>500</v>
      </c>
      <c r="C91" s="562"/>
      <c r="D91" s="560"/>
      <c r="E91" s="404" t="str">
        <f>FHD_NUM_P_53</f>
        <v/>
      </c>
      <c r="F91" s="1611" t="str">
        <f>FHD_P_53</f>
        <v/>
      </c>
      <c r="G91" s="1612" t="s">
        <v>499</v>
      </c>
      <c r="H91" s="762"/>
      <c r="I91" s="435"/>
      <c r="J91" s="1739"/>
      <c r="K91" s="165" t="str">
        <f>FHD_NOTE_P_53</f>
        <v/>
      </c>
      <c r="L91" s="561"/>
      <c r="M91" s="562"/>
      <c r="N91" s="562"/>
      <c r="S91" s="562"/>
      <c r="V91" s="563"/>
      <c r="AB91" s="564"/>
      <c r="AC91" s="564"/>
      <c r="AD91" s="564"/>
      <c r="AE91" s="564"/>
      <c r="AF91" s="564"/>
    </row>
    <row r="92" spans="1:32" s="1738" customFormat="1" ht="18.75" hidden="1" customHeight="1">
      <c r="A92" s="2187"/>
      <c r="C92" s="562"/>
      <c r="D92" s="560"/>
      <c r="E92" s="404" t="str">
        <f>FHD_NUM_P_54</f>
        <v/>
      </c>
      <c r="F92" s="1611" t="str">
        <f>FHD_P_54</f>
        <v/>
      </c>
      <c r="G92" s="1612" t="s">
        <v>499</v>
      </c>
      <c r="H92" s="762"/>
      <c r="I92" s="435"/>
      <c r="J92" s="1739"/>
      <c r="K92" s="165" t="str">
        <f>FHD_NOTE_P_54</f>
        <v/>
      </c>
      <c r="L92" s="561"/>
      <c r="M92" s="562"/>
      <c r="N92" s="562"/>
      <c r="S92" s="562"/>
      <c r="V92" s="563"/>
      <c r="AB92" s="564"/>
      <c r="AC92" s="564"/>
      <c r="AD92" s="564"/>
      <c r="AE92" s="564"/>
      <c r="AF92" s="564"/>
    </row>
    <row r="93" spans="1:32" s="1738" customFormat="1" ht="18.75" hidden="1" customHeight="1">
      <c r="A93" s="2187"/>
      <c r="C93" s="562"/>
      <c r="D93" s="565"/>
      <c r="E93" s="404" t="str">
        <f>FHD_NUM_P_55</f>
        <v/>
      </c>
      <c r="F93" s="1611" t="str">
        <f>FHD_P_55</f>
        <v/>
      </c>
      <c r="G93" s="1615"/>
      <c r="H93" s="762"/>
      <c r="I93" s="435"/>
      <c r="J93" s="1739"/>
      <c r="K93" s="165" t="str">
        <f>FHD_NOTE_P_55</f>
        <v/>
      </c>
      <c r="L93" s="561"/>
      <c r="M93" s="562"/>
      <c r="N93" s="562"/>
      <c r="S93" s="562"/>
      <c r="V93" s="563"/>
      <c r="AB93" s="564"/>
      <c r="AC93" s="564"/>
      <c r="AD93" s="564"/>
      <c r="AE93" s="564"/>
      <c r="AF93" s="564"/>
    </row>
    <row r="94" spans="1:32" s="1738" customFormat="1" ht="18.75" hidden="1" customHeight="1">
      <c r="A94" s="2187"/>
      <c r="C94" s="562"/>
      <c r="D94" s="560"/>
      <c r="E94" s="404" t="str">
        <f>FHD_NUM_P_56</f>
        <v/>
      </c>
      <c r="F94" s="1611" t="str">
        <f>FHD_P_56</f>
        <v/>
      </c>
      <c r="G94" s="1612" t="s">
        <v>501</v>
      </c>
      <c r="H94" s="762"/>
      <c r="I94" s="435"/>
      <c r="J94" s="1739"/>
      <c r="K94" s="165" t="str">
        <f>FHD_NOTE_P_56</f>
        <v/>
      </c>
      <c r="L94" s="561"/>
      <c r="M94" s="562"/>
      <c r="N94" s="562"/>
      <c r="S94" s="562"/>
      <c r="V94" s="563"/>
      <c r="AB94" s="564"/>
      <c r="AC94" s="564"/>
      <c r="AD94" s="564"/>
      <c r="AE94" s="564"/>
      <c r="AF94" s="564"/>
    </row>
    <row r="95" spans="1:32" s="1740" customFormat="1" ht="18.75" hidden="1" customHeight="1">
      <c r="A95" s="2187"/>
      <c r="B95" s="699"/>
      <c r="C95" s="562"/>
      <c r="D95" s="560"/>
      <c r="E95" s="404" t="str">
        <f>FHD_NUM_P_57</f>
        <v/>
      </c>
      <c r="F95" s="1611" t="str">
        <f>FHD_P_57</f>
        <v/>
      </c>
      <c r="G95" s="1612" t="s">
        <v>476</v>
      </c>
      <c r="H95" s="761"/>
      <c r="I95" s="415"/>
      <c r="J95" s="1736"/>
      <c r="K95" s="165" t="str">
        <f>FHD_NOTE_P_57</f>
        <v/>
      </c>
      <c r="L95" s="561"/>
      <c r="M95" s="562"/>
      <c r="N95" s="562"/>
      <c r="O95" s="699"/>
      <c r="P95" s="699"/>
      <c r="Q95" s="699"/>
      <c r="R95" s="699"/>
      <c r="S95" s="562"/>
      <c r="T95" s="699"/>
      <c r="U95" s="699"/>
      <c r="V95" s="563"/>
      <c r="W95" s="699"/>
      <c r="X95" s="699"/>
      <c r="Y95" s="699"/>
      <c r="Z95" s="699"/>
      <c r="AA95" s="699"/>
      <c r="AB95" s="564"/>
      <c r="AC95" s="564"/>
      <c r="AD95" s="564"/>
      <c r="AE95" s="564"/>
      <c r="AF95" s="564"/>
    </row>
    <row r="96" spans="1:32" ht="18.75" hidden="1" customHeight="1">
      <c r="A96" s="2187" t="s">
        <v>502</v>
      </c>
      <c r="D96" s="1408"/>
      <c r="E96" s="404" t="str">
        <f>FHD_NUM_P_58</f>
        <v/>
      </c>
      <c r="F96" s="1611" t="str">
        <f>FHD_P_58</f>
        <v/>
      </c>
      <c r="G96" s="1612" t="s">
        <v>499</v>
      </c>
      <c r="H96" s="762"/>
      <c r="I96" s="435"/>
      <c r="J96" s="1739"/>
      <c r="K96" s="165" t="str">
        <f>FHD_NOTE_P_58</f>
        <v/>
      </c>
      <c r="L96" s="401"/>
    </row>
    <row r="97" spans="1:32" ht="18.75" hidden="1" customHeight="1">
      <c r="A97" s="2187"/>
      <c r="D97" s="1408"/>
      <c r="E97" s="404" t="str">
        <f>FHD_NUM_P_59</f>
        <v/>
      </c>
      <c r="F97" s="1611" t="str">
        <f>FHD_P_59</f>
        <v/>
      </c>
      <c r="G97" s="1612" t="s">
        <v>499</v>
      </c>
      <c r="H97" s="762"/>
      <c r="I97" s="435"/>
      <c r="J97" s="1739"/>
      <c r="K97" s="165" t="str">
        <f>FHD_NOTE_P_59</f>
        <v/>
      </c>
      <c r="L97" s="401"/>
    </row>
    <row r="98" spans="1:32" ht="18.75" hidden="1" customHeight="1">
      <c r="A98" s="2187"/>
      <c r="D98" s="1408"/>
      <c r="E98" s="404" t="str">
        <f>FHD_NUM_P_60</f>
        <v/>
      </c>
      <c r="F98" s="1611" t="str">
        <f>FHD_P_60</f>
        <v/>
      </c>
      <c r="G98" s="1612" t="s">
        <v>499</v>
      </c>
      <c r="H98" s="762"/>
      <c r="I98" s="435"/>
      <c r="J98" s="1739"/>
      <c r="K98" s="165" t="str">
        <f>FHD_NOTE_P_60</f>
        <v/>
      </c>
      <c r="L98" s="401"/>
    </row>
    <row r="99" spans="1:32" s="1687" customFormat="1" ht="18.75" customHeight="1">
      <c r="A99" s="2187" t="s">
        <v>503</v>
      </c>
      <c r="C99" s="1406"/>
      <c r="D99" s="1408"/>
      <c r="E99" s="404" t="str">
        <f>FHD_NUM_P_61</f>
        <v>7</v>
      </c>
      <c r="F99" s="161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09" t="s">
        <v>474</v>
      </c>
      <c r="H99" s="764"/>
      <c r="I99" s="568"/>
      <c r="J99" s="1742"/>
      <c r="K99" s="16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01"/>
      <c r="M99" s="1406"/>
      <c r="N99" s="1406"/>
      <c r="S99" s="1406"/>
      <c r="V99" s="402"/>
      <c r="AB99" s="1402"/>
      <c r="AC99" s="1402"/>
      <c r="AD99" s="1402"/>
      <c r="AE99" s="1402"/>
      <c r="AF99" s="1402"/>
    </row>
    <row r="100" spans="1:32" s="1710" customFormat="1" ht="0.75" customHeight="1">
      <c r="A100" s="2187"/>
      <c r="D100" s="406"/>
      <c r="E100" s="796" t="str">
        <f>E99&amp;".0"</f>
        <v>7.0</v>
      </c>
      <c r="F100" s="778"/>
      <c r="G100" s="779"/>
      <c r="H100" s="776"/>
      <c r="I100" s="776"/>
      <c r="J100" s="1734"/>
      <c r="K100" s="780"/>
    </row>
    <row r="101" spans="1:32" ht="15" customHeight="1">
      <c r="A101" s="2187"/>
      <c r="D101" s="1403"/>
      <c r="E101" s="756"/>
      <c r="F101" s="757" t="s">
        <v>504</v>
      </c>
      <c r="G101" s="430"/>
      <c r="H101" s="431"/>
      <c r="I101" s="431"/>
      <c r="J101" s="1743"/>
      <c r="K101" s="787" t="s">
        <v>505</v>
      </c>
      <c r="L101" s="401"/>
    </row>
    <row r="102" spans="1:32" s="1687" customFormat="1" ht="18.75" customHeight="1">
      <c r="A102" s="2187"/>
      <c r="C102" s="1406"/>
      <c r="D102" s="1408"/>
      <c r="E102" s="404" t="str">
        <f>FHD_NUM_P_62</f>
        <v>8</v>
      </c>
      <c r="F102" s="1611" t="str">
        <f>FHD_P_62</f>
        <v>Тепловая нагрузка по договорам, заключенным в рамках осуществления регулируемых видов деятельности</v>
      </c>
      <c r="G102" s="1608" t="s">
        <v>474</v>
      </c>
      <c r="H102" s="415"/>
      <c r="I102" s="415"/>
      <c r="J102" s="1725"/>
      <c r="K102" s="165"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01"/>
      <c r="M102" s="1406"/>
      <c r="N102" s="1406"/>
      <c r="S102" s="1406"/>
      <c r="V102" s="402"/>
      <c r="AB102" s="1402"/>
      <c r="AC102" s="1402"/>
      <c r="AD102" s="1402"/>
      <c r="AE102" s="1402"/>
      <c r="AF102" s="1402"/>
    </row>
    <row r="103" spans="1:32" s="1687" customFormat="1" ht="18.75" customHeight="1">
      <c r="A103" s="2187"/>
      <c r="C103" s="1406"/>
      <c r="D103" s="1408"/>
      <c r="E103" s="404" t="str">
        <f>FHD_NUM_P_63</f>
        <v>9</v>
      </c>
      <c r="F103" s="1611" t="str">
        <f>FHD_P_63</f>
        <v>Объем вырабатываемой регулируемой организацией тепловой энергии в рамках осуществления регулируемых видов деятельности</v>
      </c>
      <c r="G103" s="1608" t="s">
        <v>501</v>
      </c>
      <c r="H103" s="435"/>
      <c r="I103" s="435"/>
      <c r="J103" s="1731"/>
      <c r="K103" s="16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01"/>
      <c r="M103" s="1406"/>
      <c r="N103" s="1406"/>
      <c r="S103" s="1406"/>
      <c r="V103" s="402"/>
      <c r="AB103" s="1402"/>
      <c r="AC103" s="1402"/>
      <c r="AD103" s="1402"/>
      <c r="AE103" s="1402"/>
      <c r="AF103" s="1402"/>
    </row>
    <row r="104" spans="1:32" s="1687" customFormat="1" ht="18.75" customHeight="1">
      <c r="A104" s="2187"/>
      <c r="C104" s="1406" t="s">
        <v>506</v>
      </c>
      <c r="D104" s="1408"/>
      <c r="E104" s="404" t="str">
        <f>FHD_NUM_P_64</f>
        <v>9.1</v>
      </c>
      <c r="F104" s="1611" t="str">
        <f>FHD_P_64</f>
        <v>Объем приобретаемой регулируемой организацией тепловой энергии в рамках осуществления регулируемых видов деятельности</v>
      </c>
      <c r="G104" s="1608" t="s">
        <v>501</v>
      </c>
      <c r="H104" s="403"/>
      <c r="I104" s="403"/>
      <c r="J104" s="1717"/>
      <c r="K104" s="165" t="str">
        <f>FHD_NOTE_P_64</f>
        <v>Информация указывается только едиными теплоснабжающими организациями.</v>
      </c>
      <c r="L104" s="401"/>
      <c r="M104" s="1406"/>
      <c r="N104" s="1406"/>
      <c r="S104" s="1406"/>
      <c r="V104" s="402"/>
      <c r="AB104" s="1402"/>
      <c r="AC104" s="1402"/>
      <c r="AD104" s="1402"/>
      <c r="AE104" s="1402"/>
      <c r="AF104" s="1402"/>
    </row>
    <row r="105" spans="1:32" s="1687" customFormat="1" ht="18.75" customHeight="1">
      <c r="A105" s="2187"/>
      <c r="C105" s="1406"/>
      <c r="D105" s="1408"/>
      <c r="E105" s="404" t="str">
        <f>FHD_NUM_P_65</f>
        <v>10</v>
      </c>
      <c r="F105" s="161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08" t="s">
        <v>501</v>
      </c>
      <c r="H105" s="435"/>
      <c r="I105" s="435"/>
      <c r="J105" s="1731"/>
      <c r="K105" s="16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01"/>
      <c r="M105" s="1406"/>
      <c r="N105" s="1406"/>
      <c r="S105" s="1406"/>
      <c r="V105" s="402"/>
      <c r="AB105" s="1402"/>
      <c r="AC105" s="1402"/>
      <c r="AD105" s="1402"/>
      <c r="AE105" s="1402"/>
      <c r="AF105" s="1402"/>
    </row>
    <row r="106" spans="1:32" s="1687" customFormat="1" ht="18.75" customHeight="1">
      <c r="A106" s="2187"/>
      <c r="C106" s="1406"/>
      <c r="D106" s="1408"/>
      <c r="E106" s="404" t="str">
        <f>FHD_NUM_P_66</f>
        <v>10.1</v>
      </c>
      <c r="F106" s="1294" t="str">
        <f>FHD_P_66</f>
        <v xml:space="preserve">По приборам учёта </v>
      </c>
      <c r="G106" s="1608" t="s">
        <v>501</v>
      </c>
      <c r="H106" s="435"/>
      <c r="I106" s="435"/>
      <c r="J106" s="1731"/>
      <c r="K106" s="165" t="str">
        <f>FHD_NOTE_P_66</f>
        <v/>
      </c>
      <c r="L106" s="401"/>
      <c r="M106" s="1406"/>
      <c r="N106" s="1406"/>
      <c r="S106" s="1406"/>
      <c r="V106" s="402"/>
      <c r="AB106" s="1402"/>
      <c r="AC106" s="1402"/>
      <c r="AD106" s="1402"/>
      <c r="AE106" s="1402"/>
      <c r="AF106" s="1402"/>
    </row>
    <row r="107" spans="1:32" s="1687" customFormat="1" ht="18.75" customHeight="1">
      <c r="A107" s="2187"/>
      <c r="C107" s="1406"/>
      <c r="D107" s="1408"/>
      <c r="E107" s="404" t="str">
        <f>FHD_NUM_P_67</f>
        <v>10.1.1</v>
      </c>
      <c r="F107" s="141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08" t="s">
        <v>501</v>
      </c>
      <c r="H107" s="435"/>
      <c r="I107" s="435"/>
      <c r="J107" s="1731"/>
      <c r="K107" s="165" t="str">
        <f>FHD_NOTE_P_67</f>
        <v/>
      </c>
      <c r="L107" s="401"/>
      <c r="M107" s="1406"/>
      <c r="N107" s="1406"/>
      <c r="S107" s="1406"/>
      <c r="V107" s="402"/>
      <c r="AB107" s="1402"/>
      <c r="AC107" s="1402"/>
      <c r="AD107" s="1402"/>
      <c r="AE107" s="1402"/>
      <c r="AF107" s="1402"/>
    </row>
    <row r="108" spans="1:32" s="1687" customFormat="1" ht="18.75" customHeight="1">
      <c r="A108" s="2187"/>
      <c r="C108" s="1406"/>
      <c r="D108" s="1408"/>
      <c r="E108" s="404" t="str">
        <f>FHD_NUM_P_68</f>
        <v>10.2</v>
      </c>
      <c r="F108" s="1294" t="str">
        <f>FHD_P_68</f>
        <v>Расчётным путём</v>
      </c>
      <c r="G108" s="1608" t="s">
        <v>501</v>
      </c>
      <c r="H108" s="435"/>
      <c r="I108" s="435"/>
      <c r="J108" s="1731"/>
      <c r="K108" s="165" t="str">
        <f>FHD_NOTE_P_68</f>
        <v/>
      </c>
      <c r="L108" s="401"/>
      <c r="M108" s="1406"/>
      <c r="N108" s="1406"/>
      <c r="S108" s="1406"/>
      <c r="V108" s="402"/>
      <c r="AB108" s="1402"/>
      <c r="AC108" s="1402"/>
      <c r="AD108" s="1402"/>
      <c r="AE108" s="1402"/>
      <c r="AF108" s="1402"/>
    </row>
    <row r="109" spans="1:32" s="1687" customFormat="1" ht="18.75" customHeight="1">
      <c r="A109" s="2187"/>
      <c r="C109" s="1406"/>
      <c r="D109" s="1408"/>
      <c r="E109" s="404" t="str">
        <f>FHD_NUM_P_69</f>
        <v>10.3</v>
      </c>
      <c r="F109" s="1294" t="str">
        <f>FHD_P_69</f>
        <v>По нормативам потребления коммунальных услуг и нормативам потребления коммунальных ресурсов</v>
      </c>
      <c r="G109" s="1608" t="s">
        <v>501</v>
      </c>
      <c r="H109" s="435"/>
      <c r="I109" s="435"/>
      <c r="J109" s="1731"/>
      <c r="K109" s="165" t="str">
        <f>FHD_NOTE_P_69</f>
        <v/>
      </c>
      <c r="L109" s="401"/>
      <c r="M109" s="1406"/>
      <c r="N109" s="1406"/>
      <c r="S109" s="1406"/>
      <c r="V109" s="402"/>
      <c r="AB109" s="1402"/>
      <c r="AC109" s="1402"/>
      <c r="AD109" s="1402"/>
      <c r="AE109" s="1402"/>
      <c r="AF109" s="1402"/>
    </row>
    <row r="110" spans="1:32" s="1687" customFormat="1" ht="22.5" customHeight="1">
      <c r="A110" s="2187"/>
      <c r="C110" s="1406"/>
      <c r="D110" s="1408"/>
      <c r="E110" s="404" t="str">
        <f>FHD_NUM_P_70</f>
        <v>11</v>
      </c>
      <c r="F110" s="161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08" t="s">
        <v>507</v>
      </c>
      <c r="H110" s="415"/>
      <c r="I110" s="415"/>
      <c r="J110" s="1725"/>
      <c r="K110" s="165" t="str">
        <f>FHD_NOTE_P_70</f>
        <v/>
      </c>
      <c r="L110" s="401"/>
      <c r="M110" s="1406"/>
      <c r="N110" s="1406"/>
      <c r="S110" s="1406"/>
      <c r="V110" s="402"/>
      <c r="AB110" s="1402"/>
      <c r="AC110" s="1402"/>
      <c r="AD110" s="1402"/>
      <c r="AE110" s="1402"/>
      <c r="AF110" s="1402"/>
    </row>
    <row r="111" spans="1:32" s="1687" customFormat="1" ht="22.5" customHeight="1">
      <c r="A111" s="2187"/>
      <c r="C111" s="1406"/>
      <c r="D111" s="1408"/>
      <c r="E111" s="404" t="str">
        <f>FHD_NUM_P_71</f>
        <v>12</v>
      </c>
      <c r="F111" s="1611" t="str">
        <f>FHD_P_71</f>
        <v>Фактический объем потерь при передаче тепловой энергии</v>
      </c>
      <c r="G111" s="1608" t="s">
        <v>507</v>
      </c>
      <c r="H111" s="415"/>
      <c r="I111" s="415"/>
      <c r="J111" s="1725"/>
      <c r="K111" s="165" t="str">
        <f>FHD_NOTE_P_71</f>
        <v/>
      </c>
      <c r="L111" s="401"/>
      <c r="M111" s="1406"/>
      <c r="N111" s="1406"/>
      <c r="S111" s="1406"/>
      <c r="V111" s="402"/>
      <c r="AB111" s="1402"/>
      <c r="AC111" s="1402"/>
      <c r="AD111" s="1402"/>
      <c r="AE111" s="1402"/>
      <c r="AF111" s="1402"/>
    </row>
    <row r="112" spans="1:32" ht="22.5" customHeight="1">
      <c r="D112" s="1408"/>
      <c r="E112" s="404" t="str">
        <f>FHD_NUM_P_72</f>
        <v>13</v>
      </c>
      <c r="F112" s="1611" t="str">
        <f>FHD_P_72</f>
        <v>Среднесписочная численность основного производственного персонала</v>
      </c>
      <c r="G112" s="1607" t="s">
        <v>508</v>
      </c>
      <c r="H112" s="435"/>
      <c r="I112" s="435"/>
      <c r="J112" s="1731"/>
      <c r="K112" s="165" t="str">
        <f>FHD_NOTE_P_72</f>
        <v/>
      </c>
      <c r="L112" s="401"/>
    </row>
    <row r="113" spans="1:32" ht="18.75" customHeight="1">
      <c r="A113" s="773" t="s">
        <v>509</v>
      </c>
      <c r="D113" s="1408"/>
      <c r="E113" s="404" t="str">
        <f>FHD_NUM_P_73</f>
        <v>14</v>
      </c>
      <c r="F113" s="1611" t="str">
        <f>FHD_P_73</f>
        <v>Среднесписочная численность административно-управленческого персонала</v>
      </c>
      <c r="G113" s="755" t="s">
        <v>508</v>
      </c>
      <c r="H113" s="753"/>
      <c r="I113" s="753"/>
      <c r="J113" s="1744"/>
      <c r="K113" s="165" t="str">
        <f>FHD_NOTE_P_73</f>
        <v/>
      </c>
      <c r="L113" s="401"/>
    </row>
    <row r="114" spans="1:32" ht="33.75" hidden="1" customHeight="1">
      <c r="A114" s="773" t="s">
        <v>510</v>
      </c>
      <c r="D114" s="1408"/>
      <c r="E114" s="404" t="str">
        <f>FHD_NUM_P_74</f>
        <v/>
      </c>
      <c r="F114" s="1611" t="str">
        <f>FHD_P_74</f>
        <v/>
      </c>
      <c r="G114" s="1607" t="s">
        <v>511</v>
      </c>
      <c r="H114" s="435"/>
      <c r="I114" s="435"/>
      <c r="J114" s="1731"/>
      <c r="K114" s="165" t="str">
        <f>FHD_NOTE_P_74</f>
        <v/>
      </c>
      <c r="L114" s="401"/>
    </row>
    <row r="115" spans="1:32" s="1740" customFormat="1" ht="18.75" hidden="1" customHeight="1">
      <c r="A115" s="2187" t="s">
        <v>512</v>
      </c>
      <c r="B115" s="699"/>
      <c r="C115" s="562"/>
      <c r="D115" s="560"/>
      <c r="E115" s="404" t="str">
        <f>FHD_NUM_P_75</f>
        <v/>
      </c>
      <c r="F115" s="1611" t="str">
        <f>FHD_P_75</f>
        <v/>
      </c>
      <c r="G115" s="1607" t="s">
        <v>476</v>
      </c>
      <c r="H115" s="415"/>
      <c r="I115" s="415"/>
      <c r="J115" s="1725"/>
      <c r="K115" s="165" t="str">
        <f>FHD_NOTE_P_75</f>
        <v/>
      </c>
      <c r="L115" s="561"/>
      <c r="M115" s="562"/>
      <c r="N115" s="562"/>
      <c r="O115" s="699"/>
      <c r="P115" s="699"/>
      <c r="Q115" s="699"/>
      <c r="R115" s="699"/>
      <c r="S115" s="562"/>
      <c r="T115" s="699"/>
      <c r="U115" s="699"/>
      <c r="V115" s="563"/>
      <c r="W115" s="699"/>
      <c r="X115" s="699"/>
      <c r="Y115" s="699"/>
      <c r="Z115" s="699"/>
      <c r="AA115" s="699"/>
      <c r="AB115" s="564"/>
      <c r="AC115" s="564"/>
      <c r="AD115" s="564"/>
      <c r="AE115" s="564"/>
      <c r="AF115" s="564"/>
    </row>
    <row r="116" spans="1:32" s="1740" customFormat="1" ht="18.75" hidden="1" customHeight="1">
      <c r="A116" s="2187"/>
      <c r="B116" s="699"/>
      <c r="C116" s="562"/>
      <c r="D116" s="560"/>
      <c r="E116" s="404" t="str">
        <f>FHD_NUM_P_76</f>
        <v/>
      </c>
      <c r="F116" s="1611" t="str">
        <f>FHD_P_76</f>
        <v/>
      </c>
      <c r="G116" s="1607" t="s">
        <v>476</v>
      </c>
      <c r="H116" s="415"/>
      <c r="I116" s="415"/>
      <c r="J116" s="1725"/>
      <c r="K116" s="165" t="str">
        <f>FHD_NOTE_P_76</f>
        <v/>
      </c>
      <c r="L116" s="561"/>
      <c r="M116" s="562"/>
      <c r="N116" s="562"/>
      <c r="O116" s="699"/>
      <c r="P116" s="699"/>
      <c r="Q116" s="699"/>
      <c r="R116" s="699"/>
      <c r="S116" s="562"/>
      <c r="T116" s="699"/>
      <c r="U116" s="699"/>
      <c r="V116" s="563"/>
      <c r="W116" s="699"/>
      <c r="X116" s="699"/>
      <c r="Y116" s="699"/>
      <c r="Z116" s="699"/>
      <c r="AA116" s="699"/>
      <c r="AB116" s="564"/>
      <c r="AC116" s="564"/>
      <c r="AD116" s="564"/>
      <c r="AE116" s="564"/>
      <c r="AF116" s="564"/>
    </row>
    <row r="117" spans="1:32" s="1740" customFormat="1" ht="18.75" hidden="1" customHeight="1">
      <c r="A117" s="2187"/>
      <c r="B117" s="699"/>
      <c r="C117" s="562"/>
      <c r="D117" s="560"/>
      <c r="E117" s="404" t="str">
        <f>FHD_NUM_P_77</f>
        <v/>
      </c>
      <c r="F117" s="1611" t="str">
        <f>FHD_P_77</f>
        <v/>
      </c>
      <c r="G117" s="1607" t="s">
        <v>476</v>
      </c>
      <c r="H117" s="415"/>
      <c r="I117" s="415"/>
      <c r="J117" s="1725"/>
      <c r="K117" s="165" t="str">
        <f>FHD_NOTE_P_77</f>
        <v/>
      </c>
      <c r="L117" s="561"/>
      <c r="M117" s="562"/>
      <c r="N117" s="562"/>
      <c r="O117" s="699"/>
      <c r="P117" s="699"/>
      <c r="Q117" s="699"/>
      <c r="R117" s="699"/>
      <c r="S117" s="562"/>
      <c r="T117" s="699"/>
      <c r="U117" s="699"/>
      <c r="V117" s="563"/>
      <c r="W117" s="699"/>
      <c r="X117" s="699"/>
      <c r="Y117" s="699"/>
      <c r="Z117" s="699"/>
      <c r="AA117" s="699"/>
      <c r="AB117" s="564"/>
      <c r="AC117" s="564"/>
      <c r="AD117" s="564"/>
      <c r="AE117" s="564"/>
      <c r="AF117" s="564"/>
    </row>
    <row r="118" spans="1:32" s="1710" customFormat="1" ht="0.75" hidden="1" customHeight="1">
      <c r="A118" s="2187"/>
      <c r="D118" s="406"/>
      <c r="E118" s="796" t="str">
        <f>E117&amp;".0"</f>
        <v>.0</v>
      </c>
      <c r="F118" s="781"/>
      <c r="G118" s="1420"/>
      <c r="H118" s="776"/>
      <c r="I118" s="776"/>
      <c r="J118" s="1734"/>
      <c r="K118" s="780"/>
    </row>
    <row r="119" spans="1:32" s="1740" customFormat="1" ht="15" hidden="1" customHeight="1">
      <c r="A119" s="2187"/>
      <c r="B119" s="699"/>
      <c r="C119" s="562"/>
      <c r="D119" s="572"/>
      <c r="E119" s="758"/>
      <c r="F119" s="759" t="s">
        <v>513</v>
      </c>
      <c r="G119" s="573"/>
      <c r="H119" s="574"/>
      <c r="I119" s="574"/>
      <c r="J119" s="1745"/>
      <c r="K119" s="786" t="s">
        <v>514</v>
      </c>
      <c r="L119" s="561"/>
      <c r="M119" s="562"/>
      <c r="N119" s="562"/>
      <c r="O119" s="699"/>
      <c r="P119" s="699"/>
      <c r="Q119" s="699"/>
      <c r="R119" s="699"/>
      <c r="S119" s="562"/>
      <c r="T119" s="699"/>
      <c r="U119" s="699"/>
      <c r="V119" s="563"/>
      <c r="W119" s="699"/>
      <c r="X119" s="699"/>
      <c r="Y119" s="699"/>
      <c r="Z119" s="699"/>
      <c r="AA119" s="699"/>
      <c r="AB119" s="564"/>
      <c r="AC119" s="564"/>
      <c r="AD119" s="564"/>
      <c r="AE119" s="564"/>
      <c r="AF119" s="564"/>
    </row>
    <row r="120" spans="1:32" ht="22.5" customHeight="1">
      <c r="A120" s="2187" t="s">
        <v>515</v>
      </c>
      <c r="D120" s="1408"/>
      <c r="E120" s="404" t="str">
        <f>FHD_NUM_P_78</f>
        <v>15</v>
      </c>
      <c r="F120" s="161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08" t="s">
        <v>478</v>
      </c>
      <c r="H120" s="435"/>
      <c r="I120" s="435"/>
      <c r="J120" s="1731"/>
      <c r="K120" s="165" t="str">
        <f>FHD_NOTE_P_78</f>
        <v/>
      </c>
      <c r="L120" s="401"/>
    </row>
    <row r="121" spans="1:32" s="1710" customFormat="1" ht="0.75" customHeight="1">
      <c r="A121" s="2187"/>
      <c r="D121" s="406"/>
      <c r="E121" s="796" t="str">
        <f>E120&amp;".0"</f>
        <v>15.0</v>
      </c>
      <c r="F121" s="781"/>
      <c r="G121" s="1420"/>
      <c r="H121" s="776"/>
      <c r="I121" s="776"/>
      <c r="J121" s="1734"/>
      <c r="K121" s="780"/>
    </row>
    <row r="122" spans="1:32" ht="15" customHeight="1">
      <c r="A122" s="2187"/>
      <c r="D122" s="1403"/>
      <c r="E122" s="428"/>
      <c r="F122" s="936" t="s">
        <v>504</v>
      </c>
      <c r="G122" s="430"/>
      <c r="H122" s="431"/>
      <c r="I122" s="431"/>
      <c r="J122" s="1746"/>
      <c r="K122" s="787" t="s">
        <v>516</v>
      </c>
      <c r="L122" s="401"/>
    </row>
    <row r="123" spans="1:32" ht="22.5" customHeight="1">
      <c r="A123" s="2187"/>
      <c r="D123" s="1408"/>
      <c r="E123" s="404" t="str">
        <f>FHD_NUM_P_79</f>
        <v>16</v>
      </c>
      <c r="F123" s="161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09" t="s">
        <v>480</v>
      </c>
      <c r="H123" s="435"/>
      <c r="I123" s="435"/>
      <c r="J123" s="1731"/>
      <c r="K123" s="16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01"/>
    </row>
    <row r="124" spans="1:32" s="1710" customFormat="1" ht="0.75" customHeight="1">
      <c r="A124" s="2187"/>
      <c r="D124" s="406"/>
      <c r="E124" s="796" t="str">
        <f>E123&amp;".0"</f>
        <v>16.0</v>
      </c>
      <c r="F124" s="782"/>
      <c r="G124" s="1420"/>
      <c r="H124" s="776"/>
      <c r="I124" s="776"/>
      <c r="J124" s="1734"/>
      <c r="K124" s="780"/>
    </row>
    <row r="125" spans="1:32" ht="15" customHeight="1">
      <c r="A125" s="2187"/>
      <c r="D125" s="1403"/>
      <c r="E125" s="428"/>
      <c r="F125" s="936" t="s">
        <v>504</v>
      </c>
      <c r="G125" s="430"/>
      <c r="H125" s="431"/>
      <c r="I125" s="431"/>
      <c r="J125" s="1747"/>
      <c r="K125" s="787" t="s">
        <v>517</v>
      </c>
      <c r="L125" s="401"/>
    </row>
    <row r="126" spans="1:32" ht="22.5" customHeight="1">
      <c r="A126" s="2187"/>
      <c r="D126" s="1408"/>
      <c r="E126" s="404" t="str">
        <f>FHD_NUM_P_80</f>
        <v>17</v>
      </c>
      <c r="F126" s="161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09" t="s">
        <v>518</v>
      </c>
      <c r="H126" s="415"/>
      <c r="I126" s="415"/>
      <c r="J126" s="1725"/>
      <c r="K126" s="165" t="str">
        <f>FHD_NOTE_P_80</f>
        <v>Регулируемыми организациями указывается информация с по договорам, заключенным в рамках осуществления регулируемой деятельности.</v>
      </c>
      <c r="L126" s="401"/>
    </row>
    <row r="127" spans="1:32" ht="18.75" customHeight="1">
      <c r="A127" s="2187"/>
      <c r="D127" s="1408"/>
      <c r="E127" s="404" t="str">
        <f>FHD_NUM_P_81</f>
        <v>18</v>
      </c>
      <c r="F127" s="161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09" t="s">
        <v>519</v>
      </c>
      <c r="H127" s="415"/>
      <c r="I127" s="415"/>
      <c r="J127" s="1725"/>
      <c r="K127" s="165" t="str">
        <f>FHD_NOTE_P_81</f>
        <v>Регулируемыми организациями указывается информация с по договорам, заключенным в рамках осуществления регулируемой деятельности.</v>
      </c>
      <c r="L127" s="401"/>
    </row>
    <row r="128" spans="1:32" ht="18.75" customHeight="1">
      <c r="A128" s="2187"/>
      <c r="C128" s="1406" t="s">
        <v>506</v>
      </c>
      <c r="D128" s="1408"/>
      <c r="E128" s="404" t="str">
        <f>FHD_NUM_P_82</f>
        <v>19</v>
      </c>
      <c r="F128" s="161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09" t="s">
        <v>230</v>
      </c>
      <c r="H128" s="286"/>
      <c r="I128" s="286"/>
      <c r="J128" s="1748"/>
      <c r="K128" s="165" t="str">
        <f>FHD_NOTE_P_82</f>
        <v>Указывается ссылка на документ, предварительно загруженный в хранилище файлов ФГИС ЕИАС.</v>
      </c>
      <c r="L128" s="401"/>
    </row>
    <row r="129" spans="1:32" ht="18.75" customHeight="1">
      <c r="A129" s="2187"/>
      <c r="C129" s="1406" t="s">
        <v>506</v>
      </c>
      <c r="D129" s="1408"/>
      <c r="E129" s="404" t="str">
        <f>FHD_NUM_P_83</f>
        <v>19.1</v>
      </c>
      <c r="F129" s="1294" t="str">
        <f>FHD_P_83</f>
        <v>Информация о показателях физического износа объектов теплоснабжения</v>
      </c>
      <c r="G129" s="1609" t="s">
        <v>230</v>
      </c>
      <c r="H129" s="286"/>
      <c r="I129" s="286"/>
      <c r="J129" s="1748"/>
      <c r="K129" s="165" t="str">
        <f>FHD_NOTE_P_83</f>
        <v>Указывается ссылка на документ, предварительно загруженный в хранилище файлов ФГИС ЕИАС.</v>
      </c>
      <c r="L129" s="401"/>
    </row>
    <row r="130" spans="1:32" ht="18.75" customHeight="1">
      <c r="A130" s="2187"/>
      <c r="C130" s="1406" t="s">
        <v>506</v>
      </c>
      <c r="D130" s="1408"/>
      <c r="E130" s="404" t="str">
        <f>FHD_NUM_P_84</f>
        <v>19.2</v>
      </c>
      <c r="F130" s="1294" t="str">
        <f>FHD_P_84</f>
        <v>Информация о показателях энергетической эффективности объектов теплоснабжения</v>
      </c>
      <c r="G130" s="1609" t="s">
        <v>230</v>
      </c>
      <c r="H130" s="286"/>
      <c r="I130" s="286"/>
      <c r="J130" s="1748"/>
      <c r="K130" s="165" t="str">
        <f>FHD_NOTE_P_84</f>
        <v>Указывается ссылка на документ, предварительно загруженный в хранилище файлов ФГИС ЕИАС.</v>
      </c>
      <c r="L130" s="401"/>
    </row>
    <row r="131" spans="1:32" ht="11.25" customHeight="1">
      <c r="D131" s="1408"/>
    </row>
    <row r="132" spans="1:32" ht="12.75" customHeight="1">
      <c r="D132" s="1408"/>
      <c r="E132" s="219"/>
      <c r="F132" s="253"/>
      <c r="G132" s="253"/>
      <c r="H132" s="253"/>
      <c r="I132" s="1416"/>
      <c r="J132" s="1750"/>
      <c r="K132" s="439"/>
    </row>
    <row r="133" spans="1:32" s="1727" customFormat="1" ht="11.25" customHeight="1">
      <c r="A133" s="771"/>
      <c r="B133" s="1406"/>
      <c r="C133" s="1406"/>
      <c r="D133" s="232"/>
      <c r="F133" s="1410"/>
      <c r="G133" s="1401"/>
      <c r="H133" s="1401"/>
      <c r="I133" s="1401"/>
      <c r="J133" s="1708"/>
      <c r="L133" s="929"/>
      <c r="M133" s="1406"/>
      <c r="N133" s="1406"/>
      <c r="O133" s="929"/>
      <c r="P133" s="929"/>
      <c r="Q133" s="929"/>
      <c r="R133" s="929"/>
      <c r="S133" s="1406"/>
      <c r="T133" s="929"/>
      <c r="U133" s="929"/>
      <c r="V133" s="402"/>
      <c r="W133" s="929"/>
      <c r="X133" s="929"/>
      <c r="Y133" s="929"/>
      <c r="Z133" s="929"/>
      <c r="AA133" s="929"/>
      <c r="AB133" s="1402"/>
      <c r="AC133" s="424"/>
      <c r="AD133" s="424"/>
      <c r="AE133" s="424"/>
      <c r="AF133" s="424"/>
    </row>
    <row r="134" spans="1:32" s="1727" customFormat="1" ht="11.25" customHeight="1">
      <c r="A134" s="771"/>
      <c r="B134" s="1406"/>
      <c r="C134" s="1406"/>
      <c r="D134" s="232"/>
      <c r="J134" s="1751"/>
      <c r="L134" s="929"/>
      <c r="M134" s="1406"/>
      <c r="N134" s="1406"/>
      <c r="O134" s="929"/>
      <c r="P134" s="929"/>
      <c r="Q134" s="929"/>
      <c r="R134" s="929"/>
      <c r="S134" s="1406"/>
      <c r="T134" s="929"/>
      <c r="U134" s="929"/>
      <c r="V134" s="402"/>
      <c r="W134" s="929"/>
      <c r="X134" s="929"/>
      <c r="Y134" s="929"/>
      <c r="Z134" s="929"/>
      <c r="AA134" s="929"/>
      <c r="AB134" s="1402"/>
      <c r="AC134" s="424"/>
      <c r="AD134" s="424"/>
      <c r="AE134" s="424"/>
      <c r="AF134" s="424"/>
    </row>
    <row r="135" spans="1:32" s="1727" customFormat="1" ht="11.25" customHeight="1">
      <c r="A135" s="771"/>
      <c r="B135" s="1406"/>
      <c r="C135" s="1406"/>
      <c r="D135" s="232"/>
      <c r="J135" s="1751"/>
      <c r="L135" s="929"/>
      <c r="M135" s="1406"/>
      <c r="N135" s="1406"/>
      <c r="O135" s="929"/>
      <c r="P135" s="929"/>
      <c r="Q135" s="929"/>
      <c r="R135" s="929"/>
      <c r="S135" s="1406"/>
      <c r="T135" s="929"/>
      <c r="U135" s="929"/>
      <c r="V135" s="402"/>
      <c r="W135" s="929"/>
      <c r="X135" s="929"/>
      <c r="Y135" s="929"/>
      <c r="Z135" s="929"/>
      <c r="AA135" s="929"/>
      <c r="AB135" s="1402"/>
      <c r="AC135" s="424"/>
      <c r="AD135" s="424"/>
      <c r="AE135" s="424"/>
      <c r="AF135" s="424"/>
    </row>
    <row r="136" spans="1:32" s="1727" customFormat="1" ht="11.25" customHeight="1">
      <c r="A136" s="771"/>
      <c r="B136" s="1406"/>
      <c r="C136" s="1406"/>
      <c r="D136" s="232"/>
      <c r="H136" s="424" t="str">
        <f>IF(H30-H31&lt;&gt;H72,"WARNING","")</f>
        <v/>
      </c>
      <c r="I136" s="424" t="str">
        <f>IF(I30-I31&lt;&gt;I72,"WARNING","")</f>
        <v/>
      </c>
      <c r="J136" s="1752" t="str">
        <f>IF(J30-J31&lt;&gt;J72,"WARNING","")</f>
        <v/>
      </c>
      <c r="L136" s="929"/>
      <c r="M136" s="1406"/>
      <c r="N136" s="1406"/>
      <c r="O136" s="929"/>
      <c r="P136" s="929"/>
      <c r="Q136" s="929"/>
      <c r="R136" s="929"/>
      <c r="S136" s="1406"/>
      <c r="T136" s="929"/>
      <c r="U136" s="929"/>
      <c r="V136" s="402"/>
      <c r="W136" s="929"/>
      <c r="X136" s="929"/>
      <c r="Y136" s="929"/>
      <c r="Z136" s="929"/>
      <c r="AA136" s="929"/>
      <c r="AB136" s="1402"/>
      <c r="AC136" s="424"/>
      <c r="AD136" s="424"/>
      <c r="AE136" s="424"/>
      <c r="AF136" s="424"/>
    </row>
    <row r="137" spans="1:32" s="1727" customFormat="1" ht="11.25" customHeight="1">
      <c r="A137" s="771"/>
      <c r="B137" s="1406"/>
      <c r="C137" s="1406"/>
      <c r="D137" s="232"/>
      <c r="J137" s="1751"/>
      <c r="L137" s="929"/>
      <c r="M137" s="1406"/>
      <c r="N137" s="1406"/>
      <c r="O137" s="929"/>
      <c r="P137" s="929"/>
      <c r="Q137" s="929"/>
      <c r="R137" s="929"/>
      <c r="S137" s="1406"/>
      <c r="T137" s="929"/>
      <c r="U137" s="929"/>
      <c r="V137" s="402"/>
      <c r="W137" s="929"/>
      <c r="X137" s="929"/>
      <c r="Y137" s="929"/>
      <c r="Z137" s="929"/>
      <c r="AA137" s="929"/>
      <c r="AB137" s="1402"/>
      <c r="AC137" s="424"/>
      <c r="AD137" s="424"/>
      <c r="AE137" s="424"/>
      <c r="AF137" s="424"/>
    </row>
    <row r="138" spans="1:32" s="1727" customFormat="1" ht="11.25" customHeight="1">
      <c r="A138" s="771"/>
      <c r="B138" s="1406"/>
      <c r="C138" s="1406"/>
      <c r="D138" s="232"/>
      <c r="J138" s="1751"/>
      <c r="L138" s="929"/>
      <c r="M138" s="1406"/>
      <c r="N138" s="1406"/>
      <c r="O138" s="929"/>
      <c r="P138" s="929"/>
      <c r="Q138" s="929"/>
      <c r="R138" s="929"/>
      <c r="S138" s="1406"/>
      <c r="T138" s="929"/>
      <c r="U138" s="929"/>
      <c r="V138" s="402"/>
      <c r="W138" s="929"/>
      <c r="X138" s="929"/>
      <c r="Y138" s="929"/>
      <c r="Z138" s="929"/>
      <c r="AA138" s="929"/>
      <c r="AB138" s="1402"/>
      <c r="AC138" s="424"/>
      <c r="AD138" s="424"/>
      <c r="AE138" s="424"/>
      <c r="AF138" s="424"/>
    </row>
    <row r="139" spans="1:32" s="1727" customFormat="1" ht="11.25" customHeight="1">
      <c r="A139" s="771"/>
      <c r="B139" s="1406"/>
      <c r="C139" s="1406"/>
      <c r="D139" s="232"/>
      <c r="J139" s="1751"/>
      <c r="L139" s="929"/>
      <c r="M139" s="1406"/>
      <c r="N139" s="1406"/>
      <c r="O139" s="929"/>
      <c r="P139" s="929"/>
      <c r="Q139" s="929"/>
      <c r="R139" s="929"/>
      <c r="S139" s="1406"/>
      <c r="T139" s="929"/>
      <c r="U139" s="929"/>
      <c r="V139" s="402"/>
      <c r="W139" s="929"/>
      <c r="X139" s="929"/>
      <c r="Y139" s="929"/>
      <c r="Z139" s="929"/>
      <c r="AA139" s="929"/>
      <c r="AB139" s="1402"/>
      <c r="AC139" s="424"/>
      <c r="AD139" s="424"/>
      <c r="AE139" s="424"/>
      <c r="AF139" s="424"/>
    </row>
    <row r="140" spans="1:32" s="1727" customFormat="1" ht="11.25" customHeight="1">
      <c r="A140" s="771"/>
      <c r="B140" s="1406"/>
      <c r="C140" s="1406"/>
      <c r="D140" s="232"/>
      <c r="J140" s="1751"/>
      <c r="L140" s="929"/>
      <c r="M140" s="1406"/>
      <c r="N140" s="1406"/>
      <c r="O140" s="929"/>
      <c r="P140" s="929"/>
      <c r="Q140" s="929"/>
      <c r="R140" s="929"/>
      <c r="S140" s="1406"/>
      <c r="T140" s="929"/>
      <c r="U140" s="929"/>
      <c r="V140" s="402"/>
      <c r="W140" s="929"/>
      <c r="X140" s="929"/>
      <c r="Y140" s="929"/>
      <c r="Z140" s="929"/>
      <c r="AA140" s="929"/>
      <c r="AB140" s="1402"/>
      <c r="AC140" s="424"/>
      <c r="AD140" s="424"/>
      <c r="AE140" s="424"/>
      <c r="AF140" s="424"/>
    </row>
    <row r="141" spans="1:32" s="1727" customFormat="1" ht="11.25" customHeight="1">
      <c r="A141" s="771"/>
      <c r="B141" s="1406"/>
      <c r="C141" s="1406"/>
      <c r="D141" s="232"/>
      <c r="J141" s="1751"/>
      <c r="L141" s="929"/>
      <c r="M141" s="1406"/>
      <c r="N141" s="1406"/>
      <c r="O141" s="929"/>
      <c r="P141" s="929"/>
      <c r="Q141" s="929"/>
      <c r="R141" s="929"/>
      <c r="S141" s="1406"/>
      <c r="T141" s="929"/>
      <c r="U141" s="929"/>
      <c r="V141" s="402"/>
      <c r="W141" s="929"/>
      <c r="X141" s="929"/>
      <c r="Y141" s="929"/>
      <c r="Z141" s="929"/>
      <c r="AA141" s="929"/>
      <c r="AB141" s="1402"/>
      <c r="AC141" s="424"/>
      <c r="AD141" s="424"/>
      <c r="AE141" s="424"/>
      <c r="AF141" s="424"/>
    </row>
    <row r="142" spans="1:32" s="1727" customFormat="1" ht="11.25" customHeight="1">
      <c r="A142" s="771"/>
      <c r="B142" s="1406"/>
      <c r="C142" s="1406"/>
      <c r="D142" s="232"/>
      <c r="J142" s="1751"/>
      <c r="L142" s="929"/>
      <c r="M142" s="1406"/>
      <c r="N142" s="1406"/>
      <c r="O142" s="929"/>
      <c r="P142" s="929"/>
      <c r="Q142" s="929"/>
      <c r="R142" s="929"/>
      <c r="S142" s="1406"/>
      <c r="T142" s="929"/>
      <c r="U142" s="929"/>
      <c r="V142" s="402"/>
      <c r="W142" s="929"/>
      <c r="X142" s="929"/>
      <c r="Y142" s="929"/>
      <c r="Z142" s="929"/>
      <c r="AA142" s="929"/>
      <c r="AB142" s="1402"/>
      <c r="AC142" s="424"/>
      <c r="AD142" s="424"/>
      <c r="AE142" s="424"/>
      <c r="AF142" s="424"/>
    </row>
    <row r="143" spans="1:32" s="1727" customFormat="1" ht="11.25" customHeight="1">
      <c r="A143" s="771"/>
      <c r="B143" s="1406"/>
      <c r="C143" s="1406"/>
      <c r="D143" s="232"/>
      <c r="J143" s="1751"/>
      <c r="L143" s="929"/>
      <c r="M143" s="1406"/>
      <c r="N143" s="1406"/>
      <c r="O143" s="929"/>
      <c r="P143" s="929"/>
      <c r="Q143" s="929"/>
      <c r="R143" s="929"/>
      <c r="S143" s="1406"/>
      <c r="T143" s="929"/>
      <c r="U143" s="929"/>
      <c r="V143" s="402"/>
      <c r="W143" s="929"/>
      <c r="X143" s="929"/>
      <c r="Y143" s="929"/>
      <c r="Z143" s="929"/>
      <c r="AA143" s="929"/>
      <c r="AB143" s="1402"/>
      <c r="AC143" s="424"/>
      <c r="AD143" s="424"/>
      <c r="AE143" s="424"/>
      <c r="AF143" s="424"/>
    </row>
    <row r="144" spans="1:32" s="1727" customFormat="1" ht="11.25" customHeight="1">
      <c r="A144" s="771"/>
      <c r="B144" s="1406"/>
      <c r="C144" s="1406"/>
      <c r="D144" s="232"/>
      <c r="J144" s="1751"/>
      <c r="L144" s="929"/>
      <c r="M144" s="1406"/>
      <c r="N144" s="1406"/>
      <c r="O144" s="929"/>
      <c r="P144" s="929"/>
      <c r="Q144" s="929"/>
      <c r="R144" s="929"/>
      <c r="S144" s="1406"/>
      <c r="T144" s="929"/>
      <c r="U144" s="929"/>
      <c r="V144" s="402"/>
      <c r="W144" s="929"/>
      <c r="X144" s="929"/>
      <c r="Y144" s="929"/>
      <c r="Z144" s="929"/>
      <c r="AA144" s="929"/>
      <c r="AB144" s="1402"/>
      <c r="AC144" s="424"/>
      <c r="AD144" s="424"/>
      <c r="AE144" s="424"/>
      <c r="AF144" s="424"/>
    </row>
    <row r="145" spans="1:32" s="1727" customFormat="1" ht="11.25" customHeight="1">
      <c r="A145" s="771"/>
      <c r="B145" s="1406"/>
      <c r="C145" s="1406"/>
      <c r="D145" s="232"/>
      <c r="J145" s="1751"/>
      <c r="L145" s="929"/>
      <c r="M145" s="1406"/>
      <c r="N145" s="1406"/>
      <c r="O145" s="929"/>
      <c r="P145" s="929"/>
      <c r="Q145" s="929"/>
      <c r="R145" s="929"/>
      <c r="S145" s="1406"/>
      <c r="T145" s="929"/>
      <c r="U145" s="929"/>
      <c r="V145" s="402"/>
      <c r="W145" s="929"/>
      <c r="X145" s="929"/>
      <c r="Y145" s="929"/>
      <c r="Z145" s="929"/>
      <c r="AA145" s="929"/>
      <c r="AB145" s="1402"/>
      <c r="AC145" s="424"/>
      <c r="AD145" s="424"/>
      <c r="AE145" s="424"/>
      <c r="AF145" s="424"/>
    </row>
    <row r="146" spans="1:32" s="1727" customFormat="1" ht="11.25" customHeight="1">
      <c r="A146" s="771"/>
      <c r="B146" s="1406"/>
      <c r="C146" s="1406"/>
      <c r="D146" s="232"/>
      <c r="J146" s="1751"/>
      <c r="L146" s="929"/>
      <c r="M146" s="1406"/>
      <c r="N146" s="1406"/>
      <c r="O146" s="929"/>
      <c r="P146" s="929"/>
      <c r="Q146" s="929"/>
      <c r="R146" s="929"/>
      <c r="S146" s="1406"/>
      <c r="T146" s="929"/>
      <c r="U146" s="929"/>
      <c r="V146" s="402"/>
      <c r="W146" s="929"/>
      <c r="X146" s="929"/>
      <c r="Y146" s="929"/>
      <c r="Z146" s="929"/>
      <c r="AA146" s="929"/>
      <c r="AB146" s="1402"/>
      <c r="AC146" s="424"/>
      <c r="AD146" s="424"/>
      <c r="AE146" s="424"/>
      <c r="AF146" s="424"/>
    </row>
    <row r="147" spans="1:32" s="1727" customFormat="1" ht="11.25" customHeight="1">
      <c r="A147" s="771"/>
      <c r="B147" s="1406"/>
      <c r="C147" s="1406"/>
      <c r="D147" s="232"/>
      <c r="J147" s="1751"/>
      <c r="L147" s="929"/>
      <c r="M147" s="1406"/>
      <c r="N147" s="1406"/>
      <c r="O147" s="929"/>
      <c r="P147" s="929"/>
      <c r="Q147" s="929"/>
      <c r="R147" s="929"/>
      <c r="S147" s="1406"/>
      <c r="T147" s="929"/>
      <c r="U147" s="929"/>
      <c r="V147" s="402"/>
      <c r="W147" s="929"/>
      <c r="X147" s="929"/>
      <c r="Y147" s="929"/>
      <c r="Z147" s="929"/>
      <c r="AA147" s="929"/>
      <c r="AB147" s="1402"/>
      <c r="AC147" s="424"/>
      <c r="AD147" s="424"/>
      <c r="AE147" s="424"/>
      <c r="AF147" s="424"/>
    </row>
    <row r="148" spans="1:32" s="1727" customFormat="1" ht="11.25" customHeight="1">
      <c r="A148" s="771"/>
      <c r="B148" s="1406"/>
      <c r="C148" s="1406"/>
      <c r="D148" s="232"/>
      <c r="J148" s="1751"/>
      <c r="L148" s="929"/>
      <c r="M148" s="1406"/>
      <c r="N148" s="1406"/>
      <c r="O148" s="929"/>
      <c r="P148" s="929"/>
      <c r="Q148" s="929"/>
      <c r="R148" s="929"/>
      <c r="S148" s="1406"/>
      <c r="T148" s="929"/>
      <c r="U148" s="929"/>
      <c r="V148" s="402"/>
      <c r="W148" s="929"/>
      <c r="X148" s="929"/>
      <c r="Y148" s="929"/>
      <c r="Z148" s="929"/>
      <c r="AA148" s="929"/>
      <c r="AB148" s="1402"/>
      <c r="AC148" s="424"/>
      <c r="AD148" s="424"/>
      <c r="AE148" s="424"/>
      <c r="AF148" s="424"/>
    </row>
    <row r="149" spans="1:32" s="1727" customFormat="1" ht="11.25" customHeight="1">
      <c r="A149" s="771"/>
      <c r="B149" s="1406"/>
      <c r="C149" s="1406"/>
      <c r="D149" s="232"/>
      <c r="J149" s="1751"/>
      <c r="L149" s="929"/>
      <c r="M149" s="1406"/>
      <c r="N149" s="1406"/>
      <c r="O149" s="929"/>
      <c r="P149" s="929"/>
      <c r="Q149" s="929"/>
      <c r="R149" s="929"/>
      <c r="S149" s="1406"/>
      <c r="T149" s="929"/>
      <c r="U149" s="929"/>
      <c r="V149" s="402"/>
      <c r="W149" s="929"/>
      <c r="X149" s="929"/>
      <c r="Y149" s="929"/>
      <c r="Z149" s="929"/>
      <c r="AA149" s="929"/>
      <c r="AB149" s="1402"/>
      <c r="AC149" s="424"/>
      <c r="AD149" s="424"/>
      <c r="AE149" s="424"/>
      <c r="AF149" s="424"/>
    </row>
    <row r="150" spans="1:32" s="1727" customFormat="1" ht="11.25" customHeight="1">
      <c r="A150" s="771"/>
      <c r="B150" s="1406"/>
      <c r="C150" s="1406"/>
      <c r="D150" s="232"/>
      <c r="J150" s="1751"/>
      <c r="L150" s="929"/>
      <c r="M150" s="1406"/>
      <c r="N150" s="1406"/>
      <c r="O150" s="929"/>
      <c r="P150" s="929"/>
      <c r="Q150" s="929"/>
      <c r="R150" s="929"/>
      <c r="S150" s="1406"/>
      <c r="T150" s="929"/>
      <c r="U150" s="929"/>
      <c r="V150" s="402"/>
      <c r="W150" s="929"/>
      <c r="X150" s="929"/>
      <c r="Y150" s="929"/>
      <c r="Z150" s="929"/>
      <c r="AA150" s="929"/>
      <c r="AB150" s="1402"/>
      <c r="AC150" s="424"/>
      <c r="AD150" s="424"/>
      <c r="AE150" s="424"/>
      <c r="AF150" s="424"/>
    </row>
    <row r="151" spans="1:32" s="1727" customFormat="1" ht="11.25" customHeight="1">
      <c r="A151" s="771"/>
      <c r="B151" s="1406"/>
      <c r="C151" s="1406"/>
      <c r="D151" s="232"/>
      <c r="J151" s="1751"/>
      <c r="L151" s="929"/>
      <c r="M151" s="1406"/>
      <c r="N151" s="1406"/>
      <c r="O151" s="929"/>
      <c r="P151" s="929"/>
      <c r="Q151" s="929"/>
      <c r="R151" s="929"/>
      <c r="S151" s="1406"/>
      <c r="T151" s="929"/>
      <c r="U151" s="929"/>
      <c r="V151" s="402"/>
      <c r="W151" s="929"/>
      <c r="X151" s="929"/>
      <c r="Y151" s="929"/>
      <c r="Z151" s="929"/>
      <c r="AA151" s="929"/>
      <c r="AB151" s="1402"/>
      <c r="AC151" s="424"/>
      <c r="AD151" s="424"/>
      <c r="AE151" s="424"/>
      <c r="AF151" s="424"/>
    </row>
    <row r="152" spans="1:32" s="1727" customFormat="1" ht="11.25" customHeight="1">
      <c r="A152" s="771"/>
      <c r="B152" s="1406"/>
      <c r="C152" s="1406"/>
      <c r="D152" s="232"/>
      <c r="J152" s="1751"/>
      <c r="L152" s="929"/>
      <c r="M152" s="1406"/>
      <c r="N152" s="1406"/>
      <c r="O152" s="929"/>
      <c r="P152" s="929"/>
      <c r="Q152" s="929"/>
      <c r="R152" s="929"/>
      <c r="S152" s="1406"/>
      <c r="T152" s="929"/>
      <c r="U152" s="929"/>
      <c r="V152" s="402"/>
      <c r="W152" s="929"/>
      <c r="X152" s="929"/>
      <c r="Y152" s="929"/>
      <c r="Z152" s="929"/>
      <c r="AA152" s="929"/>
      <c r="AB152" s="1402"/>
      <c r="AC152" s="424"/>
      <c r="AD152" s="424"/>
      <c r="AE152" s="424"/>
      <c r="AF152" s="424"/>
    </row>
    <row r="153" spans="1:32" s="1727" customFormat="1" ht="11.25" customHeight="1">
      <c r="A153" s="771"/>
      <c r="B153" s="1406"/>
      <c r="C153" s="1406"/>
      <c r="D153" s="232"/>
      <c r="J153" s="1751"/>
      <c r="L153" s="929"/>
      <c r="M153" s="1406"/>
      <c r="N153" s="1406"/>
      <c r="O153" s="929"/>
      <c r="P153" s="929"/>
      <c r="Q153" s="929"/>
      <c r="R153" s="929"/>
      <c r="S153" s="1406"/>
      <c r="T153" s="929"/>
      <c r="U153" s="929"/>
      <c r="V153" s="402"/>
      <c r="W153" s="929"/>
      <c r="X153" s="929"/>
      <c r="Y153" s="929"/>
      <c r="Z153" s="929"/>
      <c r="AA153" s="929"/>
      <c r="AB153" s="1402"/>
      <c r="AC153" s="424"/>
      <c r="AD153" s="424"/>
      <c r="AE153" s="424"/>
      <c r="AF153" s="424"/>
    </row>
    <row r="154" spans="1:32" s="1727" customFormat="1" ht="11.25" customHeight="1">
      <c r="A154" s="771"/>
      <c r="B154" s="1406"/>
      <c r="C154" s="1406"/>
      <c r="D154" s="232"/>
      <c r="J154" s="1751"/>
      <c r="L154" s="929"/>
      <c r="M154" s="1406"/>
      <c r="N154" s="1406"/>
      <c r="O154" s="929"/>
      <c r="P154" s="929"/>
      <c r="Q154" s="929"/>
      <c r="R154" s="929"/>
      <c r="S154" s="1406"/>
      <c r="T154" s="929"/>
      <c r="U154" s="929"/>
      <c r="V154" s="402"/>
      <c r="W154" s="929"/>
      <c r="X154" s="929"/>
      <c r="Y154" s="929"/>
      <c r="Z154" s="929"/>
      <c r="AA154" s="929"/>
      <c r="AB154" s="1402"/>
      <c r="AC154" s="424"/>
      <c r="AD154" s="424"/>
      <c r="AE154" s="424"/>
      <c r="AF154" s="424"/>
    </row>
    <row r="155" spans="1:32" s="1727" customFormat="1" ht="11.25" customHeight="1">
      <c r="A155" s="771"/>
      <c r="B155" s="1406"/>
      <c r="C155" s="1406"/>
      <c r="D155" s="232"/>
      <c r="J155" s="1751"/>
      <c r="L155" s="929"/>
      <c r="M155" s="1406"/>
      <c r="N155" s="1406"/>
      <c r="O155" s="929"/>
      <c r="P155" s="929"/>
      <c r="Q155" s="929"/>
      <c r="R155" s="929"/>
      <c r="S155" s="1406"/>
      <c r="T155" s="929"/>
      <c r="U155" s="929"/>
      <c r="V155" s="402"/>
      <c r="W155" s="929"/>
      <c r="X155" s="929"/>
      <c r="Y155" s="929"/>
      <c r="Z155" s="929"/>
      <c r="AA155" s="929"/>
      <c r="AB155" s="1402"/>
      <c r="AC155" s="424"/>
      <c r="AD155" s="424"/>
      <c r="AE155" s="424"/>
      <c r="AF155" s="424"/>
    </row>
    <row r="156" spans="1:32" s="1727" customFormat="1" ht="11.25" customHeight="1">
      <c r="A156" s="771"/>
      <c r="B156" s="1406"/>
      <c r="C156" s="1406"/>
      <c r="D156" s="232"/>
      <c r="J156" s="1751"/>
      <c r="L156" s="929"/>
      <c r="M156" s="1406"/>
      <c r="N156" s="1406"/>
      <c r="O156" s="929"/>
      <c r="P156" s="929"/>
      <c r="Q156" s="929"/>
      <c r="R156" s="929"/>
      <c r="S156" s="1406"/>
      <c r="T156" s="929"/>
      <c r="U156" s="929"/>
      <c r="V156" s="402"/>
      <c r="W156" s="929"/>
      <c r="X156" s="929"/>
      <c r="Y156" s="929"/>
      <c r="Z156" s="929"/>
      <c r="AA156" s="929"/>
      <c r="AB156" s="1402"/>
      <c r="AC156" s="424"/>
      <c r="AD156" s="424"/>
      <c r="AE156" s="424"/>
      <c r="AF156" s="424"/>
    </row>
    <row r="157" spans="1:32" s="1727" customFormat="1" ht="11.25" customHeight="1">
      <c r="A157" s="771"/>
      <c r="B157" s="1406"/>
      <c r="C157" s="1406"/>
      <c r="D157" s="232"/>
      <c r="J157" s="1751"/>
      <c r="L157" s="929"/>
      <c r="M157" s="1406"/>
      <c r="N157" s="1406"/>
      <c r="O157" s="929"/>
      <c r="P157" s="929"/>
      <c r="Q157" s="929"/>
      <c r="R157" s="929"/>
      <c r="S157" s="1406"/>
      <c r="T157" s="929"/>
      <c r="U157" s="929"/>
      <c r="V157" s="402"/>
      <c r="W157" s="929"/>
      <c r="X157" s="929"/>
      <c r="Y157" s="929"/>
      <c r="Z157" s="929"/>
      <c r="AA157" s="929"/>
      <c r="AB157" s="1402"/>
      <c r="AC157" s="424"/>
      <c r="AD157" s="424"/>
      <c r="AE157" s="424"/>
      <c r="AF157" s="424"/>
    </row>
    <row r="158" spans="1:32" s="1727" customFormat="1" ht="11.25" customHeight="1">
      <c r="A158" s="771"/>
      <c r="B158" s="1406"/>
      <c r="C158" s="1406"/>
      <c r="D158" s="232"/>
      <c r="J158" s="1751"/>
      <c r="L158" s="929"/>
      <c r="M158" s="1406"/>
      <c r="N158" s="1406"/>
      <c r="O158" s="929"/>
      <c r="P158" s="929"/>
      <c r="Q158" s="929"/>
      <c r="R158" s="929"/>
      <c r="S158" s="1406"/>
      <c r="T158" s="929"/>
      <c r="U158" s="929"/>
      <c r="V158" s="402"/>
      <c r="W158" s="929"/>
      <c r="X158" s="929"/>
      <c r="Y158" s="929"/>
      <c r="Z158" s="929"/>
      <c r="AA158" s="929"/>
      <c r="AB158" s="1402"/>
      <c r="AC158" s="424"/>
      <c r="AD158" s="424"/>
      <c r="AE158" s="424"/>
      <c r="AF158" s="424"/>
    </row>
    <row r="159" spans="1:32" s="1727" customFormat="1" ht="11.25" customHeight="1">
      <c r="A159" s="771"/>
      <c r="B159" s="1406"/>
      <c r="C159" s="1406"/>
      <c r="D159" s="232"/>
      <c r="J159" s="1751"/>
      <c r="L159" s="929"/>
      <c r="M159" s="1406"/>
      <c r="N159" s="1406"/>
      <c r="O159" s="929"/>
      <c r="P159" s="929"/>
      <c r="Q159" s="929"/>
      <c r="R159" s="929"/>
      <c r="S159" s="1406"/>
      <c r="T159" s="929"/>
      <c r="U159" s="929"/>
      <c r="V159" s="402"/>
      <c r="W159" s="929"/>
      <c r="X159" s="929"/>
      <c r="Y159" s="929"/>
      <c r="Z159" s="929"/>
      <c r="AA159" s="929"/>
      <c r="AB159" s="1402"/>
      <c r="AC159" s="424"/>
      <c r="AD159" s="424"/>
      <c r="AE159" s="424"/>
      <c r="AF159" s="424"/>
    </row>
    <row r="160" spans="1:32" s="1727" customFormat="1" ht="11.25" customHeight="1">
      <c r="A160" s="771"/>
      <c r="B160" s="1406"/>
      <c r="C160" s="1406"/>
      <c r="D160" s="232"/>
      <c r="J160" s="1751"/>
      <c r="L160" s="929"/>
      <c r="M160" s="1406"/>
      <c r="N160" s="1406"/>
      <c r="O160" s="929"/>
      <c r="P160" s="929"/>
      <c r="Q160" s="929"/>
      <c r="R160" s="929"/>
      <c r="S160" s="1406"/>
      <c r="T160" s="929"/>
      <c r="U160" s="929"/>
      <c r="V160" s="402"/>
      <c r="W160" s="929"/>
      <c r="X160" s="929"/>
      <c r="Y160" s="929"/>
      <c r="Z160" s="929"/>
      <c r="AA160" s="929"/>
      <c r="AB160" s="1402"/>
      <c r="AC160" s="424"/>
      <c r="AD160" s="424"/>
      <c r="AE160" s="424"/>
      <c r="AF160" s="424"/>
    </row>
    <row r="161" spans="1:32" s="1727" customFormat="1" ht="11.25" customHeight="1">
      <c r="A161" s="771"/>
      <c r="B161" s="1406"/>
      <c r="C161" s="1406"/>
      <c r="D161" s="232"/>
      <c r="J161" s="1751"/>
      <c r="L161" s="929"/>
      <c r="M161" s="1406"/>
      <c r="N161" s="1406"/>
      <c r="O161" s="929"/>
      <c r="P161" s="929"/>
      <c r="Q161" s="929"/>
      <c r="R161" s="929"/>
      <c r="S161" s="1406"/>
      <c r="T161" s="929"/>
      <c r="U161" s="929"/>
      <c r="V161" s="402"/>
      <c r="W161" s="929"/>
      <c r="X161" s="929"/>
      <c r="Y161" s="929"/>
      <c r="Z161" s="929"/>
      <c r="AA161" s="929"/>
      <c r="AB161" s="1402"/>
      <c r="AC161" s="424"/>
      <c r="AD161" s="424"/>
      <c r="AE161" s="424"/>
      <c r="AF161" s="424"/>
    </row>
    <row r="162" spans="1:32" s="1727" customFormat="1" ht="11.25" customHeight="1">
      <c r="A162" s="771"/>
      <c r="B162" s="1406"/>
      <c r="C162" s="1406"/>
      <c r="D162" s="232"/>
      <c r="J162" s="1751"/>
      <c r="L162" s="929"/>
      <c r="M162" s="1406"/>
      <c r="N162" s="1406"/>
      <c r="O162" s="929"/>
      <c r="P162" s="929"/>
      <c r="Q162" s="929"/>
      <c r="R162" s="929"/>
      <c r="S162" s="1406"/>
      <c r="T162" s="929"/>
      <c r="U162" s="929"/>
      <c r="V162" s="402"/>
      <c r="W162" s="929"/>
      <c r="X162" s="929"/>
      <c r="Y162" s="929"/>
      <c r="Z162" s="929"/>
      <c r="AA162" s="929"/>
      <c r="AB162" s="1402"/>
      <c r="AC162" s="424"/>
      <c r="AD162" s="424"/>
      <c r="AE162" s="424"/>
      <c r="AF162" s="424"/>
    </row>
    <row r="163" spans="1:32" s="1727" customFormat="1" ht="11.25" customHeight="1">
      <c r="A163" s="771"/>
      <c r="B163" s="1406"/>
      <c r="C163" s="1406"/>
      <c r="D163" s="232"/>
      <c r="J163" s="1751"/>
      <c r="L163" s="929"/>
      <c r="M163" s="1406"/>
      <c r="N163" s="1406"/>
      <c r="O163" s="929"/>
      <c r="P163" s="929"/>
      <c r="Q163" s="929"/>
      <c r="R163" s="929"/>
      <c r="S163" s="1406"/>
      <c r="T163" s="929"/>
      <c r="U163" s="929"/>
      <c r="V163" s="402"/>
      <c r="W163" s="929"/>
      <c r="X163" s="929"/>
      <c r="Y163" s="929"/>
      <c r="Z163" s="929"/>
      <c r="AA163" s="929"/>
      <c r="AB163" s="1402"/>
      <c r="AC163" s="424"/>
      <c r="AD163" s="424"/>
      <c r="AE163" s="424"/>
      <c r="AF163" s="424"/>
    </row>
    <row r="164" spans="1:32" s="1727" customFormat="1" ht="11.25" customHeight="1">
      <c r="A164" s="771"/>
      <c r="B164" s="1406"/>
      <c r="C164" s="1406"/>
      <c r="D164" s="232"/>
      <c r="J164" s="1751"/>
      <c r="L164" s="929"/>
      <c r="M164" s="1406"/>
      <c r="N164" s="1406"/>
      <c r="O164" s="929"/>
      <c r="P164" s="929"/>
      <c r="Q164" s="929"/>
      <c r="R164" s="929"/>
      <c r="S164" s="1406"/>
      <c r="T164" s="929"/>
      <c r="U164" s="929"/>
      <c r="V164" s="402"/>
      <c r="W164" s="929"/>
      <c r="X164" s="929"/>
      <c r="Y164" s="929"/>
      <c r="Z164" s="929"/>
      <c r="AA164" s="929"/>
      <c r="AB164" s="1402"/>
      <c r="AC164" s="424"/>
      <c r="AD164" s="424"/>
      <c r="AE164" s="424"/>
      <c r="AF164" s="424"/>
    </row>
    <row r="165" spans="1:32" s="1727" customFormat="1" ht="11.25" customHeight="1">
      <c r="A165" s="771"/>
      <c r="B165" s="1406"/>
      <c r="C165" s="1406"/>
      <c r="D165" s="232"/>
      <c r="J165" s="1751"/>
      <c r="L165" s="929"/>
      <c r="M165" s="1406"/>
      <c r="N165" s="1406"/>
      <c r="O165" s="929"/>
      <c r="P165" s="929"/>
      <c r="Q165" s="929"/>
      <c r="R165" s="929"/>
      <c r="S165" s="1406"/>
      <c r="T165" s="929"/>
      <c r="U165" s="929"/>
      <c r="V165" s="402"/>
      <c r="W165" s="929"/>
      <c r="X165" s="929"/>
      <c r="Y165" s="929"/>
      <c r="Z165" s="929"/>
      <c r="AA165" s="929"/>
      <c r="AB165" s="1402"/>
      <c r="AC165" s="424"/>
      <c r="AD165" s="424"/>
      <c r="AE165" s="424"/>
      <c r="AF165" s="424"/>
    </row>
    <row r="166" spans="1:32" s="1727" customFormat="1" ht="11.25" customHeight="1">
      <c r="A166" s="771"/>
      <c r="B166" s="1406"/>
      <c r="C166" s="1406"/>
      <c r="D166" s="232"/>
      <c r="J166" s="1751"/>
      <c r="L166" s="929"/>
      <c r="M166" s="1406"/>
      <c r="N166" s="1406"/>
      <c r="O166" s="929"/>
      <c r="P166" s="929"/>
      <c r="Q166" s="929"/>
      <c r="R166" s="929"/>
      <c r="S166" s="1406"/>
      <c r="T166" s="929"/>
      <c r="U166" s="929"/>
      <c r="V166" s="402"/>
      <c r="W166" s="929"/>
      <c r="X166" s="929"/>
      <c r="Y166" s="929"/>
      <c r="Z166" s="929"/>
      <c r="AA166" s="929"/>
      <c r="AB166" s="1402"/>
      <c r="AC166" s="424"/>
      <c r="AD166" s="424"/>
      <c r="AE166" s="424"/>
      <c r="AF166" s="424"/>
    </row>
    <row r="167" spans="1:32" s="1727" customFormat="1" ht="11.25" customHeight="1">
      <c r="A167" s="771"/>
      <c r="B167" s="1406"/>
      <c r="C167" s="1406"/>
      <c r="D167" s="232"/>
      <c r="J167" s="1751"/>
      <c r="L167" s="929"/>
      <c r="M167" s="1406"/>
      <c r="N167" s="1406"/>
      <c r="O167" s="929"/>
      <c r="P167" s="929"/>
      <c r="Q167" s="929"/>
      <c r="R167" s="929"/>
      <c r="S167" s="1406"/>
      <c r="T167" s="929"/>
      <c r="U167" s="929"/>
      <c r="V167" s="402"/>
      <c r="W167" s="929"/>
      <c r="X167" s="929"/>
      <c r="Y167" s="929"/>
      <c r="Z167" s="929"/>
      <c r="AA167" s="929"/>
      <c r="AB167" s="1402"/>
      <c r="AC167" s="424"/>
      <c r="AD167" s="424"/>
      <c r="AE167" s="424"/>
      <c r="AF167" s="424"/>
    </row>
    <row r="168" spans="1:32" s="1727" customFormat="1" ht="11.25" customHeight="1">
      <c r="A168" s="771"/>
      <c r="B168" s="1406"/>
      <c r="C168" s="1406"/>
      <c r="D168" s="232"/>
      <c r="J168" s="1751"/>
      <c r="L168" s="929"/>
      <c r="M168" s="1406"/>
      <c r="N168" s="1406"/>
      <c r="O168" s="929"/>
      <c r="P168" s="929"/>
      <c r="Q168" s="929"/>
      <c r="R168" s="929"/>
      <c r="S168" s="1406"/>
      <c r="T168" s="929"/>
      <c r="U168" s="929"/>
      <c r="V168" s="402"/>
      <c r="W168" s="929"/>
      <c r="X168" s="929"/>
      <c r="Y168" s="929"/>
      <c r="Z168" s="929"/>
      <c r="AA168" s="929"/>
      <c r="AB168" s="1402"/>
      <c r="AC168" s="424"/>
      <c r="AD168" s="424"/>
      <c r="AE168" s="424"/>
      <c r="AF168" s="424"/>
    </row>
    <row r="169" spans="1:32" s="1727" customFormat="1" ht="11.25" customHeight="1">
      <c r="A169" s="771"/>
      <c r="B169" s="1406"/>
      <c r="C169" s="1406"/>
      <c r="D169" s="232"/>
      <c r="J169" s="1751"/>
      <c r="L169" s="929"/>
      <c r="M169" s="1406"/>
      <c r="N169" s="1406"/>
      <c r="O169" s="929"/>
      <c r="P169" s="929"/>
      <c r="Q169" s="929"/>
      <c r="R169" s="929"/>
      <c r="S169" s="1406"/>
      <c r="T169" s="929"/>
      <c r="U169" s="929"/>
      <c r="V169" s="402"/>
      <c r="W169" s="929"/>
      <c r="X169" s="929"/>
      <c r="Y169" s="929"/>
      <c r="Z169" s="929"/>
      <c r="AA169" s="929"/>
      <c r="AB169" s="1402"/>
      <c r="AC169" s="424"/>
      <c r="AD169" s="424"/>
      <c r="AE169" s="424"/>
      <c r="AF169" s="424"/>
    </row>
    <row r="170" spans="1:32" s="1727" customFormat="1" ht="11.25" customHeight="1">
      <c r="A170" s="771"/>
      <c r="B170" s="1406"/>
      <c r="C170" s="1406"/>
      <c r="D170" s="232"/>
      <c r="J170" s="1751"/>
      <c r="L170" s="929"/>
      <c r="M170" s="1406"/>
      <c r="N170" s="1406"/>
      <c r="O170" s="929"/>
      <c r="P170" s="929"/>
      <c r="Q170" s="929"/>
      <c r="R170" s="929"/>
      <c r="S170" s="1406"/>
      <c r="T170" s="929"/>
      <c r="U170" s="929"/>
      <c r="V170" s="402"/>
      <c r="W170" s="929"/>
      <c r="X170" s="929"/>
      <c r="Y170" s="929"/>
      <c r="Z170" s="929"/>
      <c r="AA170" s="929"/>
      <c r="AB170" s="1402"/>
      <c r="AC170" s="424"/>
      <c r="AD170" s="424"/>
      <c r="AE170" s="424"/>
      <c r="AF170" s="424"/>
    </row>
    <row r="171" spans="1:32" s="1727" customFormat="1" ht="11.25" customHeight="1">
      <c r="A171" s="771"/>
      <c r="B171" s="1406"/>
      <c r="C171" s="1406"/>
      <c r="D171" s="232"/>
      <c r="J171" s="1751"/>
      <c r="L171" s="929"/>
      <c r="M171" s="1406"/>
      <c r="N171" s="1406"/>
      <c r="O171" s="929"/>
      <c r="P171" s="929"/>
      <c r="Q171" s="929"/>
      <c r="R171" s="929"/>
      <c r="S171" s="1406"/>
      <c r="T171" s="929"/>
      <c r="U171" s="929"/>
      <c r="V171" s="402"/>
      <c r="W171" s="929"/>
      <c r="X171" s="929"/>
      <c r="Y171" s="929"/>
      <c r="Z171" s="929"/>
      <c r="AA171" s="929"/>
      <c r="AB171" s="1402"/>
      <c r="AC171" s="424"/>
      <c r="AD171" s="424"/>
      <c r="AE171" s="424"/>
      <c r="AF171" s="424"/>
    </row>
    <row r="172" spans="1:32" s="1727" customFormat="1" ht="11.25" customHeight="1">
      <c r="A172" s="771"/>
      <c r="B172" s="1406"/>
      <c r="C172" s="1406"/>
      <c r="D172" s="232"/>
      <c r="J172" s="1751"/>
      <c r="L172" s="929"/>
      <c r="M172" s="1406"/>
      <c r="N172" s="1406"/>
      <c r="O172" s="929"/>
      <c r="P172" s="929"/>
      <c r="Q172" s="929"/>
      <c r="R172" s="929"/>
      <c r="S172" s="1406"/>
      <c r="T172" s="929"/>
      <c r="U172" s="929"/>
      <c r="V172" s="402"/>
      <c r="W172" s="929"/>
      <c r="X172" s="929"/>
      <c r="Y172" s="929"/>
      <c r="Z172" s="929"/>
      <c r="AA172" s="929"/>
      <c r="AB172" s="1402"/>
      <c r="AC172" s="424"/>
      <c r="AD172" s="424"/>
      <c r="AE172" s="424"/>
      <c r="AF172" s="424"/>
    </row>
    <row r="173" spans="1:32" s="1727" customFormat="1" ht="11.25" customHeight="1">
      <c r="A173" s="771"/>
      <c r="B173" s="1406"/>
      <c r="C173" s="1406"/>
      <c r="D173" s="232"/>
      <c r="J173" s="1751"/>
      <c r="L173" s="929"/>
      <c r="M173" s="1406"/>
      <c r="N173" s="1406"/>
      <c r="O173" s="929"/>
      <c r="P173" s="929"/>
      <c r="Q173" s="929"/>
      <c r="R173" s="929"/>
      <c r="S173" s="1406"/>
      <c r="T173" s="929"/>
      <c r="U173" s="929"/>
      <c r="V173" s="402"/>
      <c r="W173" s="929"/>
      <c r="X173" s="929"/>
      <c r="Y173" s="929"/>
      <c r="Z173" s="929"/>
      <c r="AA173" s="929"/>
      <c r="AB173" s="1402"/>
      <c r="AC173" s="424"/>
      <c r="AD173" s="424"/>
      <c r="AE173" s="424"/>
      <c r="AF173" s="424"/>
    </row>
    <row r="174" spans="1:32" s="1727" customFormat="1" ht="11.25" customHeight="1">
      <c r="A174" s="771"/>
      <c r="B174" s="1406"/>
      <c r="C174" s="1406"/>
      <c r="D174" s="232"/>
      <c r="J174" s="1751"/>
      <c r="L174" s="929"/>
      <c r="M174" s="1406"/>
      <c r="N174" s="1406"/>
      <c r="O174" s="929"/>
      <c r="P174" s="929"/>
      <c r="Q174" s="929"/>
      <c r="R174" s="929"/>
      <c r="S174" s="1406"/>
      <c r="T174" s="929"/>
      <c r="U174" s="929"/>
      <c r="V174" s="402"/>
      <c r="W174" s="929"/>
      <c r="X174" s="929"/>
      <c r="Y174" s="929"/>
      <c r="Z174" s="929"/>
      <c r="AA174" s="929"/>
      <c r="AB174" s="1402"/>
      <c r="AC174" s="424"/>
      <c r="AD174" s="424"/>
      <c r="AE174" s="424"/>
      <c r="AF174" s="424"/>
    </row>
    <row r="175" spans="1:32" s="1727" customFormat="1" ht="11.25" customHeight="1">
      <c r="A175" s="771"/>
      <c r="B175" s="1406"/>
      <c r="C175" s="1406"/>
      <c r="D175" s="232"/>
      <c r="J175" s="1751"/>
      <c r="L175" s="929"/>
      <c r="M175" s="1406"/>
      <c r="N175" s="1406"/>
      <c r="O175" s="929"/>
      <c r="P175" s="929"/>
      <c r="Q175" s="929"/>
      <c r="R175" s="929"/>
      <c r="S175" s="1406"/>
      <c r="T175" s="929"/>
      <c r="U175" s="929"/>
      <c r="V175" s="402"/>
      <c r="W175" s="929"/>
      <c r="X175" s="929"/>
      <c r="Y175" s="929"/>
      <c r="Z175" s="929"/>
      <c r="AA175" s="929"/>
      <c r="AB175" s="1402"/>
      <c r="AC175" s="424"/>
      <c r="AD175" s="424"/>
      <c r="AE175" s="424"/>
      <c r="AF175" s="424"/>
    </row>
    <row r="176" spans="1:32" s="1727" customFormat="1" ht="11.25" customHeight="1">
      <c r="A176" s="771"/>
      <c r="B176" s="1406"/>
      <c r="C176" s="1406"/>
      <c r="D176" s="232"/>
      <c r="J176" s="1751"/>
      <c r="L176" s="929"/>
      <c r="M176" s="1406"/>
      <c r="N176" s="1406"/>
      <c r="O176" s="929"/>
      <c r="P176" s="929"/>
      <c r="Q176" s="929"/>
      <c r="R176" s="929"/>
      <c r="S176" s="1406"/>
      <c r="T176" s="929"/>
      <c r="U176" s="929"/>
      <c r="V176" s="402"/>
      <c r="W176" s="929"/>
      <c r="X176" s="929"/>
      <c r="Y176" s="929"/>
      <c r="Z176" s="929"/>
      <c r="AA176" s="929"/>
      <c r="AB176" s="1402"/>
      <c r="AC176" s="424"/>
      <c r="AD176" s="424"/>
      <c r="AE176" s="424"/>
      <c r="AF176" s="424"/>
    </row>
    <row r="177" spans="1:32" s="1727" customFormat="1" ht="11.25" customHeight="1">
      <c r="A177" s="771"/>
      <c r="B177" s="1406"/>
      <c r="C177" s="1406"/>
      <c r="D177" s="232"/>
      <c r="J177" s="1751"/>
      <c r="L177" s="929"/>
      <c r="M177" s="1406"/>
      <c r="N177" s="1406"/>
      <c r="O177" s="929"/>
      <c r="P177" s="929"/>
      <c r="Q177" s="929"/>
      <c r="R177" s="929"/>
      <c r="S177" s="1406"/>
      <c r="T177" s="929"/>
      <c r="U177" s="929"/>
      <c r="V177" s="402"/>
      <c r="W177" s="929"/>
      <c r="X177" s="929"/>
      <c r="Y177" s="929"/>
      <c r="Z177" s="929"/>
      <c r="AA177" s="929"/>
      <c r="AB177" s="1402"/>
      <c r="AC177" s="424"/>
      <c r="AD177" s="424"/>
      <c r="AE177" s="424"/>
      <c r="AF177" s="424"/>
    </row>
    <row r="178" spans="1:32" s="1727" customFormat="1" ht="11.25" customHeight="1">
      <c r="A178" s="771"/>
      <c r="B178" s="1406"/>
      <c r="C178" s="1406"/>
      <c r="D178" s="232"/>
      <c r="J178" s="1751"/>
      <c r="L178" s="929"/>
      <c r="M178" s="1406"/>
      <c r="N178" s="1406"/>
      <c r="O178" s="929"/>
      <c r="P178" s="929"/>
      <c r="Q178" s="929"/>
      <c r="R178" s="929"/>
      <c r="S178" s="1406"/>
      <c r="T178" s="929"/>
      <c r="U178" s="929"/>
      <c r="V178" s="402"/>
      <c r="W178" s="929"/>
      <c r="X178" s="929"/>
      <c r="Y178" s="929"/>
      <c r="Z178" s="929"/>
      <c r="AA178" s="929"/>
      <c r="AB178" s="1402"/>
      <c r="AC178" s="424"/>
      <c r="AD178" s="424"/>
      <c r="AE178" s="424"/>
      <c r="AF178" s="424"/>
    </row>
    <row r="179" spans="1:32" s="1727" customFormat="1" ht="11.25" customHeight="1">
      <c r="A179" s="771"/>
      <c r="B179" s="1406"/>
      <c r="C179" s="1406"/>
      <c r="D179" s="232"/>
      <c r="J179" s="1751"/>
      <c r="L179" s="929"/>
      <c r="M179" s="1406"/>
      <c r="N179" s="1406"/>
      <c r="O179" s="929"/>
      <c r="P179" s="929"/>
      <c r="Q179" s="929"/>
      <c r="R179" s="929"/>
      <c r="S179" s="1406"/>
      <c r="T179" s="929"/>
      <c r="U179" s="929"/>
      <c r="V179" s="402"/>
      <c r="W179" s="929"/>
      <c r="X179" s="929"/>
      <c r="Y179" s="929"/>
      <c r="Z179" s="929"/>
      <c r="AA179" s="929"/>
      <c r="AB179" s="1402"/>
      <c r="AC179" s="424"/>
      <c r="AD179" s="424"/>
      <c r="AE179" s="424"/>
      <c r="AF179" s="424"/>
    </row>
    <row r="180" spans="1:32" s="1727" customFormat="1" ht="11.25" customHeight="1">
      <c r="A180" s="771"/>
      <c r="B180" s="1406"/>
      <c r="C180" s="1406"/>
      <c r="D180" s="232"/>
      <c r="J180" s="1751"/>
      <c r="L180" s="929"/>
      <c r="M180" s="1406"/>
      <c r="N180" s="1406"/>
      <c r="O180" s="929"/>
      <c r="P180" s="929"/>
      <c r="Q180" s="929"/>
      <c r="R180" s="929"/>
      <c r="S180" s="1406"/>
      <c r="T180" s="929"/>
      <c r="U180" s="929"/>
      <c r="V180" s="402"/>
      <c r="W180" s="929"/>
      <c r="X180" s="929"/>
      <c r="Y180" s="929"/>
      <c r="Z180" s="929"/>
      <c r="AA180" s="929"/>
      <c r="AB180" s="1402"/>
      <c r="AC180" s="424"/>
      <c r="AD180" s="424"/>
      <c r="AE180" s="424"/>
      <c r="AF180" s="424"/>
    </row>
    <row r="181" spans="1:32" s="1727" customFormat="1" ht="11.25" customHeight="1">
      <c r="A181" s="771"/>
      <c r="B181" s="1406"/>
      <c r="C181" s="1406"/>
      <c r="D181" s="232"/>
      <c r="J181" s="1751"/>
      <c r="L181" s="929"/>
      <c r="M181" s="1406"/>
      <c r="N181" s="1406"/>
      <c r="O181" s="929"/>
      <c r="P181" s="929"/>
      <c r="Q181" s="929"/>
      <c r="R181" s="929"/>
      <c r="S181" s="1406"/>
      <c r="T181" s="929"/>
      <c r="U181" s="929"/>
      <c r="V181" s="402"/>
      <c r="W181" s="929"/>
      <c r="X181" s="929"/>
      <c r="Y181" s="929"/>
      <c r="Z181" s="929"/>
      <c r="AA181" s="929"/>
      <c r="AB181" s="1402"/>
      <c r="AC181" s="424"/>
      <c r="AD181" s="424"/>
      <c r="AE181" s="424"/>
      <c r="AF181" s="424"/>
    </row>
    <row r="182" spans="1:32" s="1727" customFormat="1" ht="11.25" customHeight="1">
      <c r="A182" s="771"/>
      <c r="B182" s="1406"/>
      <c r="C182" s="1406"/>
      <c r="D182" s="232"/>
      <c r="J182" s="1751"/>
      <c r="L182" s="929"/>
      <c r="M182" s="1406"/>
      <c r="N182" s="1406"/>
      <c r="O182" s="929"/>
      <c r="P182" s="929"/>
      <c r="Q182" s="929"/>
      <c r="R182" s="929"/>
      <c r="S182" s="1406"/>
      <c r="T182" s="929"/>
      <c r="U182" s="929"/>
      <c r="V182" s="402"/>
      <c r="W182" s="929"/>
      <c r="X182" s="929"/>
      <c r="Y182" s="929"/>
      <c r="Z182" s="929"/>
      <c r="AA182" s="929"/>
      <c r="AB182" s="1402"/>
      <c r="AC182" s="424"/>
      <c r="AD182" s="424"/>
      <c r="AE182" s="424"/>
      <c r="AF182" s="424"/>
    </row>
    <row r="183" spans="1:32" s="1727" customFormat="1" ht="11.25" customHeight="1">
      <c r="A183" s="771"/>
      <c r="B183" s="1406"/>
      <c r="C183" s="1406"/>
      <c r="D183" s="232"/>
      <c r="J183" s="1751"/>
      <c r="L183" s="929"/>
      <c r="M183" s="1406"/>
      <c r="N183" s="1406"/>
      <c r="O183" s="929"/>
      <c r="P183" s="929"/>
      <c r="Q183" s="929"/>
      <c r="R183" s="929"/>
      <c r="S183" s="1406"/>
      <c r="T183" s="929"/>
      <c r="U183" s="929"/>
      <c r="V183" s="402"/>
      <c r="W183" s="929"/>
      <c r="X183" s="929"/>
      <c r="Y183" s="929"/>
      <c r="Z183" s="929"/>
      <c r="AA183" s="929"/>
      <c r="AB183" s="1402"/>
      <c r="AC183" s="424"/>
      <c r="AD183" s="424"/>
      <c r="AE183" s="424"/>
      <c r="AF183" s="424"/>
    </row>
    <row r="184" spans="1:32" s="1727" customFormat="1" ht="11.25" customHeight="1">
      <c r="A184" s="771"/>
      <c r="B184" s="1406"/>
      <c r="C184" s="1406"/>
      <c r="D184" s="232"/>
      <c r="J184" s="1751"/>
      <c r="L184" s="929"/>
      <c r="M184" s="1406"/>
      <c r="N184" s="1406"/>
      <c r="O184" s="929"/>
      <c r="P184" s="929"/>
      <c r="Q184" s="929"/>
      <c r="R184" s="929"/>
      <c r="S184" s="1406"/>
      <c r="T184" s="929"/>
      <c r="U184" s="929"/>
      <c r="V184" s="402"/>
      <c r="W184" s="929"/>
      <c r="X184" s="929"/>
      <c r="Y184" s="929"/>
      <c r="Z184" s="929"/>
      <c r="AA184" s="929"/>
      <c r="AB184" s="1402"/>
      <c r="AC184" s="424"/>
      <c r="AD184" s="424"/>
      <c r="AE184" s="424"/>
      <c r="AF184" s="424"/>
    </row>
    <row r="185" spans="1:32" s="1727" customFormat="1" ht="11.25" customHeight="1">
      <c r="A185" s="771"/>
      <c r="B185" s="1406"/>
      <c r="C185" s="1406"/>
      <c r="D185" s="232"/>
      <c r="J185" s="1751"/>
      <c r="L185" s="929"/>
      <c r="M185" s="1406"/>
      <c r="N185" s="1406"/>
      <c r="O185" s="929"/>
      <c r="P185" s="929"/>
      <c r="Q185" s="929"/>
      <c r="R185" s="929"/>
      <c r="S185" s="1406"/>
      <c r="T185" s="929"/>
      <c r="U185" s="929"/>
      <c r="V185" s="402"/>
      <c r="W185" s="929"/>
      <c r="X185" s="929"/>
      <c r="Y185" s="929"/>
      <c r="Z185" s="929"/>
      <c r="AA185" s="929"/>
      <c r="AB185" s="1402"/>
      <c r="AC185" s="424"/>
      <c r="AD185" s="424"/>
      <c r="AE185" s="424"/>
      <c r="AF185" s="424"/>
    </row>
    <row r="186" spans="1:32" s="1727" customFormat="1" ht="11.25" customHeight="1">
      <c r="A186" s="771"/>
      <c r="B186" s="1406"/>
      <c r="C186" s="1406"/>
      <c r="D186" s="232"/>
      <c r="J186" s="1751"/>
      <c r="L186" s="929"/>
      <c r="M186" s="1406"/>
      <c r="N186" s="1406"/>
      <c r="O186" s="929"/>
      <c r="P186" s="929"/>
      <c r="Q186" s="929"/>
      <c r="R186" s="929"/>
      <c r="S186" s="1406"/>
      <c r="T186" s="929"/>
      <c r="U186" s="929"/>
      <c r="V186" s="402"/>
      <c r="W186" s="929"/>
      <c r="X186" s="929"/>
      <c r="Y186" s="929"/>
      <c r="Z186" s="929"/>
      <c r="AA186" s="929"/>
      <c r="AB186" s="1402"/>
      <c r="AC186" s="424"/>
      <c r="AD186" s="424"/>
      <c r="AE186" s="424"/>
      <c r="AF186" s="424"/>
    </row>
    <row r="187" spans="1:32" s="1727" customFormat="1" ht="11.25" customHeight="1">
      <c r="A187" s="771"/>
      <c r="B187" s="1406"/>
      <c r="C187" s="1406"/>
      <c r="D187" s="232"/>
      <c r="J187" s="1751"/>
      <c r="L187" s="929"/>
      <c r="M187" s="1406"/>
      <c r="N187" s="1406"/>
      <c r="O187" s="929"/>
      <c r="P187" s="929"/>
      <c r="Q187" s="929"/>
      <c r="R187" s="929"/>
      <c r="S187" s="1406"/>
      <c r="T187" s="929"/>
      <c r="U187" s="929"/>
      <c r="V187" s="402"/>
      <c r="W187" s="929"/>
      <c r="X187" s="929"/>
      <c r="Y187" s="929"/>
      <c r="Z187" s="929"/>
      <c r="AA187" s="929"/>
      <c r="AB187" s="1402"/>
      <c r="AC187" s="424"/>
      <c r="AD187" s="424"/>
      <c r="AE187" s="424"/>
      <c r="AF187" s="424"/>
    </row>
    <row r="188" spans="1:32" s="1727" customFormat="1" ht="11.25" customHeight="1">
      <c r="A188" s="771"/>
      <c r="B188" s="1406"/>
      <c r="C188" s="1406"/>
      <c r="D188" s="232"/>
      <c r="J188" s="1751"/>
      <c r="L188" s="929"/>
      <c r="M188" s="1406"/>
      <c r="N188" s="1406"/>
      <c r="O188" s="929"/>
      <c r="P188" s="929"/>
      <c r="Q188" s="929"/>
      <c r="R188" s="929"/>
      <c r="S188" s="1406"/>
      <c r="T188" s="929"/>
      <c r="U188" s="929"/>
      <c r="V188" s="402"/>
      <c r="W188" s="929"/>
      <c r="X188" s="929"/>
      <c r="Y188" s="929"/>
      <c r="Z188" s="929"/>
      <c r="AA188" s="929"/>
      <c r="AB188" s="1402"/>
      <c r="AC188" s="424"/>
      <c r="AD188" s="424"/>
      <c r="AE188" s="424"/>
      <c r="AF188" s="424"/>
    </row>
    <row r="189" spans="1:32" s="1727" customFormat="1" ht="11.25" customHeight="1">
      <c r="A189" s="771"/>
      <c r="B189" s="1406"/>
      <c r="C189" s="1406"/>
      <c r="D189" s="232"/>
      <c r="J189" s="1751"/>
      <c r="L189" s="929"/>
      <c r="M189" s="1406"/>
      <c r="N189" s="1406"/>
      <c r="O189" s="929"/>
      <c r="P189" s="929"/>
      <c r="Q189" s="929"/>
      <c r="R189" s="929"/>
      <c r="S189" s="1406"/>
      <c r="T189" s="929"/>
      <c r="U189" s="929"/>
      <c r="V189" s="402"/>
      <c r="W189" s="929"/>
      <c r="X189" s="929"/>
      <c r="Y189" s="929"/>
      <c r="Z189" s="929"/>
      <c r="AA189" s="929"/>
      <c r="AB189" s="1402"/>
      <c r="AC189" s="424"/>
      <c r="AD189" s="424"/>
      <c r="AE189" s="424"/>
      <c r="AF189" s="424"/>
    </row>
    <row r="190" spans="1:32" s="1727" customFormat="1" ht="11.25" customHeight="1">
      <c r="A190" s="771"/>
      <c r="B190" s="1406"/>
      <c r="C190" s="1406"/>
      <c r="D190" s="232"/>
      <c r="J190" s="1751"/>
      <c r="L190" s="929"/>
      <c r="M190" s="1406"/>
      <c r="N190" s="1406"/>
      <c r="O190" s="929"/>
      <c r="P190" s="929"/>
      <c r="Q190" s="929"/>
      <c r="R190" s="929"/>
      <c r="S190" s="1406"/>
      <c r="T190" s="929"/>
      <c r="U190" s="929"/>
      <c r="V190" s="402"/>
      <c r="W190" s="929"/>
      <c r="X190" s="929"/>
      <c r="Y190" s="929"/>
      <c r="Z190" s="929"/>
      <c r="AA190" s="929"/>
      <c r="AB190" s="1402"/>
      <c r="AC190" s="424"/>
      <c r="AD190" s="424"/>
      <c r="AE190" s="424"/>
      <c r="AF190" s="424"/>
    </row>
    <row r="191" spans="1:32" s="1727" customFormat="1" ht="11.25" customHeight="1">
      <c r="A191" s="771"/>
      <c r="B191" s="1406"/>
      <c r="C191" s="1406"/>
      <c r="D191" s="232"/>
      <c r="J191" s="1751"/>
      <c r="L191" s="929"/>
      <c r="M191" s="1406"/>
      <c r="N191" s="1406"/>
      <c r="O191" s="929"/>
      <c r="P191" s="929"/>
      <c r="Q191" s="929"/>
      <c r="R191" s="929"/>
      <c r="S191" s="1406"/>
      <c r="T191" s="929"/>
      <c r="U191" s="929"/>
      <c r="V191" s="402"/>
      <c r="W191" s="929"/>
      <c r="X191" s="929"/>
      <c r="Y191" s="929"/>
      <c r="Z191" s="929"/>
      <c r="AA191" s="929"/>
      <c r="AB191" s="1402"/>
      <c r="AC191" s="424"/>
      <c r="AD191" s="424"/>
      <c r="AE191" s="424"/>
      <c r="AF191" s="424"/>
    </row>
    <row r="192" spans="1:32" s="1727" customFormat="1" ht="11.25" customHeight="1">
      <c r="A192" s="771"/>
      <c r="B192" s="1406"/>
      <c r="C192" s="1406"/>
      <c r="D192" s="232"/>
      <c r="J192" s="1751"/>
      <c r="L192" s="929"/>
      <c r="M192" s="1406"/>
      <c r="N192" s="1406"/>
      <c r="O192" s="929"/>
      <c r="P192" s="929"/>
      <c r="Q192" s="929"/>
      <c r="R192" s="929"/>
      <c r="S192" s="1406"/>
      <c r="T192" s="929"/>
      <c r="U192" s="929"/>
      <c r="V192" s="402"/>
      <c r="W192" s="929"/>
      <c r="X192" s="929"/>
      <c r="Y192" s="929"/>
      <c r="Z192" s="929"/>
      <c r="AA192" s="929"/>
      <c r="AB192" s="1402"/>
      <c r="AC192" s="424"/>
      <c r="AD192" s="424"/>
      <c r="AE192" s="424"/>
      <c r="AF192" s="424"/>
    </row>
    <row r="193" spans="1:32" s="1727" customFormat="1" ht="11.25" customHeight="1">
      <c r="A193" s="771"/>
      <c r="B193" s="1406"/>
      <c r="C193" s="1406"/>
      <c r="D193" s="232"/>
      <c r="J193" s="1751"/>
      <c r="L193" s="929"/>
      <c r="M193" s="1406"/>
      <c r="N193" s="1406"/>
      <c r="O193" s="929"/>
      <c r="P193" s="929"/>
      <c r="Q193" s="929"/>
      <c r="R193" s="929"/>
      <c r="S193" s="1406"/>
      <c r="T193" s="929"/>
      <c r="U193" s="929"/>
      <c r="V193" s="402"/>
      <c r="W193" s="929"/>
      <c r="X193" s="929"/>
      <c r="Y193" s="929"/>
      <c r="Z193" s="929"/>
      <c r="AA193" s="929"/>
      <c r="AB193" s="1402"/>
      <c r="AC193" s="424"/>
      <c r="AD193" s="424"/>
      <c r="AE193" s="424"/>
      <c r="AF193" s="424"/>
    </row>
    <row r="194" spans="1:32" s="1727" customFormat="1" ht="11.25" customHeight="1">
      <c r="A194" s="771"/>
      <c r="B194" s="1406"/>
      <c r="C194" s="1406"/>
      <c r="D194" s="232"/>
      <c r="J194" s="1751"/>
      <c r="L194" s="929"/>
      <c r="M194" s="1406"/>
      <c r="N194" s="1406"/>
      <c r="O194" s="929"/>
      <c r="P194" s="929"/>
      <c r="Q194" s="929"/>
      <c r="R194" s="929"/>
      <c r="S194" s="1406"/>
      <c r="T194" s="929"/>
      <c r="U194" s="929"/>
      <c r="V194" s="402"/>
      <c r="W194" s="929"/>
      <c r="X194" s="929"/>
      <c r="Y194" s="929"/>
      <c r="Z194" s="929"/>
      <c r="AA194" s="929"/>
      <c r="AB194" s="1402"/>
      <c r="AC194" s="424"/>
      <c r="AD194" s="424"/>
      <c r="AE194" s="424"/>
      <c r="AF194" s="424"/>
    </row>
    <row r="195" spans="1:32" s="1727" customFormat="1" ht="11.25" customHeight="1">
      <c r="A195" s="771"/>
      <c r="B195" s="1406"/>
      <c r="C195" s="1406"/>
      <c r="D195" s="232"/>
      <c r="J195" s="1751"/>
      <c r="L195" s="929"/>
      <c r="M195" s="1406"/>
      <c r="N195" s="1406"/>
      <c r="O195" s="929"/>
      <c r="P195" s="929"/>
      <c r="Q195" s="929"/>
      <c r="R195" s="929"/>
      <c r="S195" s="1406"/>
      <c r="T195" s="929"/>
      <c r="U195" s="929"/>
      <c r="V195" s="402"/>
      <c r="W195" s="929"/>
      <c r="X195" s="929"/>
      <c r="Y195" s="929"/>
      <c r="Z195" s="929"/>
      <c r="AA195" s="929"/>
      <c r="AB195" s="1402"/>
      <c r="AC195" s="424"/>
      <c r="AD195" s="424"/>
      <c r="AE195" s="424"/>
      <c r="AF195" s="424"/>
    </row>
    <row r="196" spans="1:32" s="1727" customFormat="1" ht="11.25" customHeight="1">
      <c r="A196" s="771"/>
      <c r="B196" s="1406"/>
      <c r="C196" s="1406"/>
      <c r="D196" s="232"/>
      <c r="J196" s="1751"/>
      <c r="L196" s="929"/>
      <c r="M196" s="1406"/>
      <c r="N196" s="1406"/>
      <c r="O196" s="929"/>
      <c r="P196" s="929"/>
      <c r="Q196" s="929"/>
      <c r="R196" s="929"/>
      <c r="S196" s="1406"/>
      <c r="T196" s="929"/>
      <c r="U196" s="929"/>
      <c r="V196" s="402"/>
      <c r="W196" s="929"/>
      <c r="X196" s="929"/>
      <c r="Y196" s="929"/>
      <c r="Z196" s="929"/>
      <c r="AA196" s="929"/>
      <c r="AB196" s="1402"/>
      <c r="AC196" s="424"/>
      <c r="AD196" s="424"/>
      <c r="AE196" s="424"/>
      <c r="AF196" s="424"/>
    </row>
    <row r="197" spans="1:32" s="1727" customFormat="1" ht="11.25" customHeight="1">
      <c r="A197" s="771"/>
      <c r="B197" s="1406"/>
      <c r="C197" s="1406"/>
      <c r="D197" s="232"/>
      <c r="J197" s="1751"/>
      <c r="L197" s="929"/>
      <c r="M197" s="1406"/>
      <c r="N197" s="1406"/>
      <c r="O197" s="929"/>
      <c r="P197" s="929"/>
      <c r="Q197" s="929"/>
      <c r="R197" s="929"/>
      <c r="S197" s="1406"/>
      <c r="T197" s="929"/>
      <c r="U197" s="929"/>
      <c r="V197" s="402"/>
      <c r="W197" s="929"/>
      <c r="X197" s="929"/>
      <c r="Y197" s="929"/>
      <c r="Z197" s="929"/>
      <c r="AA197" s="929"/>
      <c r="AB197" s="1402"/>
      <c r="AC197" s="424"/>
      <c r="AD197" s="424"/>
      <c r="AE197" s="424"/>
      <c r="AF197" s="424"/>
    </row>
    <row r="198" spans="1:32" s="1727" customFormat="1" ht="11.25" customHeight="1">
      <c r="A198" s="771"/>
      <c r="B198" s="1406"/>
      <c r="C198" s="1406"/>
      <c r="D198" s="232"/>
      <c r="J198" s="1751"/>
      <c r="L198" s="929"/>
      <c r="M198" s="1406"/>
      <c r="N198" s="1406"/>
      <c r="O198" s="929"/>
      <c r="P198" s="929"/>
      <c r="Q198" s="929"/>
      <c r="R198" s="929"/>
      <c r="S198" s="1406"/>
      <c r="T198" s="929"/>
      <c r="U198" s="929"/>
      <c r="V198" s="402"/>
      <c r="W198" s="929"/>
      <c r="X198" s="929"/>
      <c r="Y198" s="929"/>
      <c r="Z198" s="929"/>
      <c r="AA198" s="929"/>
      <c r="AB198" s="1402"/>
      <c r="AC198" s="424"/>
      <c r="AD198" s="424"/>
      <c r="AE198" s="424"/>
      <c r="AF198" s="424"/>
    </row>
    <row r="199" spans="1:32" s="1727" customFormat="1" ht="11.25" customHeight="1">
      <c r="A199" s="771"/>
      <c r="B199" s="1406"/>
      <c r="C199" s="1406"/>
      <c r="D199" s="232"/>
      <c r="J199" s="1751"/>
      <c r="L199" s="929"/>
      <c r="M199" s="1406"/>
      <c r="N199" s="1406"/>
      <c r="O199" s="929"/>
      <c r="P199" s="929"/>
      <c r="Q199" s="929"/>
      <c r="R199" s="929"/>
      <c r="S199" s="1406"/>
      <c r="T199" s="929"/>
      <c r="U199" s="929"/>
      <c r="V199" s="402"/>
      <c r="W199" s="929"/>
      <c r="X199" s="929"/>
      <c r="Y199" s="929"/>
      <c r="Z199" s="929"/>
      <c r="AA199" s="929"/>
      <c r="AB199" s="1402"/>
      <c r="AC199" s="424"/>
      <c r="AD199" s="424"/>
      <c r="AE199" s="424"/>
      <c r="AF199" s="424"/>
    </row>
    <row r="200" spans="1:32" s="1727" customFormat="1" ht="11.25" customHeight="1">
      <c r="A200" s="771"/>
      <c r="B200" s="1406"/>
      <c r="C200" s="1406"/>
      <c r="D200" s="232"/>
      <c r="J200" s="1751"/>
      <c r="L200" s="929"/>
      <c r="M200" s="1406"/>
      <c r="N200" s="1406"/>
      <c r="O200" s="929"/>
      <c r="P200" s="929"/>
      <c r="Q200" s="929"/>
      <c r="R200" s="929"/>
      <c r="S200" s="1406"/>
      <c r="T200" s="929"/>
      <c r="U200" s="929"/>
      <c r="V200" s="402"/>
      <c r="W200" s="929"/>
      <c r="X200" s="929"/>
      <c r="Y200" s="929"/>
      <c r="Z200" s="929"/>
      <c r="AA200" s="929"/>
      <c r="AB200" s="1402"/>
      <c r="AC200" s="424"/>
      <c r="AD200" s="424"/>
      <c r="AE200" s="424"/>
      <c r="AF200" s="424"/>
    </row>
    <row r="201" spans="1:32" s="1727" customFormat="1" ht="11.25" customHeight="1">
      <c r="A201" s="771"/>
      <c r="B201" s="1406"/>
      <c r="C201" s="1406"/>
      <c r="D201" s="232"/>
      <c r="J201" s="1751"/>
      <c r="L201" s="929"/>
      <c r="M201" s="1406"/>
      <c r="N201" s="1406"/>
      <c r="O201" s="929"/>
      <c r="P201" s="929"/>
      <c r="Q201" s="929"/>
      <c r="R201" s="929"/>
      <c r="S201" s="1406"/>
      <c r="T201" s="929"/>
      <c r="U201" s="929"/>
      <c r="V201" s="402"/>
      <c r="W201" s="929"/>
      <c r="X201" s="929"/>
      <c r="Y201" s="929"/>
      <c r="Z201" s="929"/>
      <c r="AA201" s="929"/>
      <c r="AB201" s="1402"/>
      <c r="AC201" s="424"/>
      <c r="AD201" s="424"/>
      <c r="AE201" s="424"/>
      <c r="AF201" s="424"/>
    </row>
    <row r="202" spans="1:32" s="1727" customFormat="1" ht="11.25" customHeight="1">
      <c r="A202" s="771"/>
      <c r="B202" s="1406"/>
      <c r="C202" s="1406"/>
      <c r="D202" s="232"/>
      <c r="J202" s="1751"/>
      <c r="L202" s="929"/>
      <c r="M202" s="1406"/>
      <c r="N202" s="1406"/>
      <c r="O202" s="929"/>
      <c r="P202" s="929"/>
      <c r="Q202" s="929"/>
      <c r="R202" s="929"/>
      <c r="S202" s="1406"/>
      <c r="T202" s="929"/>
      <c r="U202" s="929"/>
      <c r="V202" s="402"/>
      <c r="W202" s="929"/>
      <c r="X202" s="929"/>
      <c r="Y202" s="929"/>
      <c r="Z202" s="929"/>
      <c r="AA202" s="929"/>
      <c r="AB202" s="1402"/>
      <c r="AC202" s="424"/>
      <c r="AD202" s="424"/>
      <c r="AE202" s="424"/>
      <c r="AF202" s="424"/>
    </row>
    <row r="203" spans="1:32" s="1727" customFormat="1" ht="11.25" customHeight="1">
      <c r="A203" s="771"/>
      <c r="B203" s="1406"/>
      <c r="C203" s="1406"/>
      <c r="D203" s="232"/>
      <c r="J203" s="1751"/>
      <c r="L203" s="929"/>
      <c r="M203" s="1406"/>
      <c r="N203" s="1406"/>
      <c r="O203" s="929"/>
      <c r="P203" s="929"/>
      <c r="Q203" s="929"/>
      <c r="R203" s="929"/>
      <c r="S203" s="1406"/>
      <c r="T203" s="929"/>
      <c r="U203" s="929"/>
      <c r="V203" s="402"/>
      <c r="W203" s="929"/>
      <c r="X203" s="929"/>
      <c r="Y203" s="929"/>
      <c r="Z203" s="929"/>
      <c r="AA203" s="929"/>
      <c r="AB203" s="1402"/>
      <c r="AC203" s="424"/>
      <c r="AD203" s="424"/>
      <c r="AE203" s="424"/>
      <c r="AF203" s="424"/>
    </row>
    <row r="204" spans="1:32" s="1727" customFormat="1" ht="11.25" customHeight="1">
      <c r="A204" s="771"/>
      <c r="B204" s="1406"/>
      <c r="C204" s="1406"/>
      <c r="D204" s="232"/>
      <c r="J204" s="1751"/>
      <c r="L204" s="929"/>
      <c r="M204" s="1406"/>
      <c r="N204" s="1406"/>
      <c r="O204" s="929"/>
      <c r="P204" s="929"/>
      <c r="Q204" s="929"/>
      <c r="R204" s="929"/>
      <c r="S204" s="1406"/>
      <c r="T204" s="929"/>
      <c r="U204" s="929"/>
      <c r="V204" s="402"/>
      <c r="W204" s="929"/>
      <c r="X204" s="929"/>
      <c r="Y204" s="929"/>
      <c r="Z204" s="929"/>
      <c r="AA204" s="929"/>
      <c r="AB204" s="1402"/>
      <c r="AC204" s="424"/>
      <c r="AD204" s="424"/>
      <c r="AE204" s="424"/>
      <c r="AF204" s="424"/>
    </row>
    <row r="205" spans="1:32" s="1727" customFormat="1" ht="11.25" customHeight="1">
      <c r="A205" s="771"/>
      <c r="B205" s="1406"/>
      <c r="C205" s="1406"/>
      <c r="D205" s="232"/>
      <c r="J205" s="1751"/>
      <c r="L205" s="929"/>
      <c r="M205" s="1406"/>
      <c r="N205" s="1406"/>
      <c r="O205" s="929"/>
      <c r="P205" s="929"/>
      <c r="Q205" s="929"/>
      <c r="R205" s="929"/>
      <c r="S205" s="1406"/>
      <c r="T205" s="929"/>
      <c r="U205" s="929"/>
      <c r="V205" s="402"/>
      <c r="W205" s="929"/>
      <c r="X205" s="929"/>
      <c r="Y205" s="929"/>
      <c r="Z205" s="929"/>
      <c r="AA205" s="929"/>
      <c r="AB205" s="1402"/>
      <c r="AC205" s="424"/>
      <c r="AD205" s="424"/>
      <c r="AE205" s="424"/>
      <c r="AF205" s="424"/>
    </row>
    <row r="206" spans="1:32" s="1727" customFormat="1" ht="11.25" customHeight="1">
      <c r="A206" s="771"/>
      <c r="B206" s="1406"/>
      <c r="C206" s="1406"/>
      <c r="D206" s="232"/>
      <c r="J206" s="1751"/>
      <c r="L206" s="929"/>
      <c r="M206" s="1406"/>
      <c r="N206" s="1406"/>
      <c r="O206" s="929"/>
      <c r="P206" s="929"/>
      <c r="Q206" s="929"/>
      <c r="R206" s="929"/>
      <c r="S206" s="1406"/>
      <c r="T206" s="929"/>
      <c r="U206" s="929"/>
      <c r="V206" s="402"/>
      <c r="W206" s="929"/>
      <c r="X206" s="929"/>
      <c r="Y206" s="929"/>
      <c r="Z206" s="929"/>
      <c r="AA206" s="929"/>
      <c r="AB206" s="1402"/>
      <c r="AC206" s="424"/>
      <c r="AD206" s="424"/>
      <c r="AE206" s="424"/>
      <c r="AF206" s="424"/>
    </row>
    <row r="207" spans="1:32" s="1727" customFormat="1" ht="11.25" customHeight="1">
      <c r="A207" s="771"/>
      <c r="B207" s="1406"/>
      <c r="C207" s="1406"/>
      <c r="D207" s="232"/>
      <c r="J207" s="1751"/>
      <c r="L207" s="929"/>
      <c r="M207" s="1406"/>
      <c r="N207" s="1406"/>
      <c r="O207" s="929"/>
      <c r="P207" s="929"/>
      <c r="Q207" s="929"/>
      <c r="R207" s="929"/>
      <c r="S207" s="1406"/>
      <c r="T207" s="929"/>
      <c r="U207" s="929"/>
      <c r="V207" s="402"/>
      <c r="W207" s="929"/>
      <c r="X207" s="929"/>
      <c r="Y207" s="929"/>
      <c r="Z207" s="929"/>
      <c r="AA207" s="929"/>
      <c r="AB207" s="1402"/>
      <c r="AC207" s="424"/>
      <c r="AD207" s="424"/>
      <c r="AE207" s="424"/>
      <c r="AF207" s="424"/>
    </row>
    <row r="208" spans="1:32" s="1727" customFormat="1" ht="11.25" customHeight="1">
      <c r="A208" s="771"/>
      <c r="B208" s="1406"/>
      <c r="C208" s="1406"/>
      <c r="D208" s="232"/>
      <c r="J208" s="1751"/>
      <c r="L208" s="929"/>
      <c r="M208" s="1406"/>
      <c r="N208" s="1406"/>
      <c r="O208" s="929"/>
      <c r="P208" s="929"/>
      <c r="Q208" s="929"/>
      <c r="R208" s="929"/>
      <c r="S208" s="1406"/>
      <c r="T208" s="929"/>
      <c r="U208" s="929"/>
      <c r="V208" s="402"/>
      <c r="W208" s="929"/>
      <c r="X208" s="929"/>
      <c r="Y208" s="929"/>
      <c r="Z208" s="929"/>
      <c r="AA208" s="929"/>
      <c r="AB208" s="1402"/>
      <c r="AC208" s="424"/>
      <c r="AD208" s="424"/>
      <c r="AE208" s="424"/>
      <c r="AF208" s="424"/>
    </row>
    <row r="209" spans="1:32" s="1727" customFormat="1" ht="11.25" customHeight="1">
      <c r="A209" s="771"/>
      <c r="B209" s="1406"/>
      <c r="C209" s="1406"/>
      <c r="D209" s="232"/>
      <c r="J209" s="1751"/>
      <c r="L209" s="929"/>
      <c r="M209" s="1406"/>
      <c r="N209" s="1406"/>
      <c r="O209" s="929"/>
      <c r="P209" s="929"/>
      <c r="Q209" s="929"/>
      <c r="R209" s="929"/>
      <c r="S209" s="1406"/>
      <c r="T209" s="929"/>
      <c r="U209" s="929"/>
      <c r="V209" s="402"/>
      <c r="W209" s="929"/>
      <c r="X209" s="929"/>
      <c r="Y209" s="929"/>
      <c r="Z209" s="929"/>
      <c r="AA209" s="929"/>
      <c r="AB209" s="1402"/>
      <c r="AC209" s="424"/>
      <c r="AD209" s="424"/>
      <c r="AE209" s="424"/>
      <c r="AF209" s="424"/>
    </row>
    <row r="210" spans="1:32" s="1727" customFormat="1" ht="11.25" customHeight="1">
      <c r="A210" s="771"/>
      <c r="B210" s="1406"/>
      <c r="C210" s="1406"/>
      <c r="D210" s="232"/>
      <c r="J210" s="1751"/>
      <c r="L210" s="929"/>
      <c r="M210" s="1406"/>
      <c r="N210" s="1406"/>
      <c r="O210" s="929"/>
      <c r="P210" s="929"/>
      <c r="Q210" s="929"/>
      <c r="R210" s="929"/>
      <c r="S210" s="1406"/>
      <c r="T210" s="929"/>
      <c r="U210" s="929"/>
      <c r="V210" s="402"/>
      <c r="W210" s="929"/>
      <c r="X210" s="929"/>
      <c r="Y210" s="929"/>
      <c r="Z210" s="929"/>
      <c r="AA210" s="929"/>
      <c r="AB210" s="1402"/>
      <c r="AC210" s="424"/>
      <c r="AD210" s="424"/>
      <c r="AE210" s="424"/>
      <c r="AF210" s="424"/>
    </row>
    <row r="211" spans="1:32" s="1727" customFormat="1" ht="11.25" customHeight="1">
      <c r="A211" s="771"/>
      <c r="B211" s="1406"/>
      <c r="C211" s="1406"/>
      <c r="D211" s="232"/>
      <c r="J211" s="1751"/>
      <c r="L211" s="929"/>
      <c r="M211" s="1406"/>
      <c r="N211" s="1406"/>
      <c r="O211" s="929"/>
      <c r="P211" s="929"/>
      <c r="Q211" s="929"/>
      <c r="R211" s="929"/>
      <c r="S211" s="1406"/>
      <c r="T211" s="929"/>
      <c r="U211" s="929"/>
      <c r="V211" s="402"/>
      <c r="W211" s="929"/>
      <c r="X211" s="929"/>
      <c r="Y211" s="929"/>
      <c r="Z211" s="929"/>
      <c r="AA211" s="929"/>
      <c r="AB211" s="1402"/>
      <c r="AC211" s="424"/>
      <c r="AD211" s="424"/>
      <c r="AE211" s="424"/>
      <c r="AF211" s="424"/>
    </row>
    <row r="212" spans="1:32" s="1727" customFormat="1" ht="11.25" customHeight="1">
      <c r="A212" s="771"/>
      <c r="B212" s="1406"/>
      <c r="C212" s="1406"/>
      <c r="D212" s="232"/>
      <c r="J212" s="1751"/>
      <c r="L212" s="929"/>
      <c r="M212" s="1406"/>
      <c r="N212" s="1406"/>
      <c r="O212" s="929"/>
      <c r="P212" s="929"/>
      <c r="Q212" s="929"/>
      <c r="R212" s="929"/>
      <c r="S212" s="1406"/>
      <c r="T212" s="929"/>
      <c r="U212" s="929"/>
      <c r="V212" s="402"/>
      <c r="W212" s="929"/>
      <c r="X212" s="929"/>
      <c r="Y212" s="929"/>
      <c r="Z212" s="929"/>
      <c r="AA212" s="929"/>
      <c r="AB212" s="1402"/>
      <c r="AC212" s="424"/>
      <c r="AD212" s="424"/>
      <c r="AE212" s="424"/>
      <c r="AF212" s="424"/>
    </row>
    <row r="213" spans="1:32" s="1727" customFormat="1" ht="11.25" customHeight="1">
      <c r="A213" s="771"/>
      <c r="B213" s="1406"/>
      <c r="C213" s="1406"/>
      <c r="D213" s="232"/>
      <c r="J213" s="1751"/>
      <c r="L213" s="929"/>
      <c r="M213" s="1406"/>
      <c r="N213" s="1406"/>
      <c r="O213" s="929"/>
      <c r="P213" s="929"/>
      <c r="Q213" s="929"/>
      <c r="R213" s="929"/>
      <c r="S213" s="1406"/>
      <c r="T213" s="929"/>
      <c r="U213" s="929"/>
      <c r="V213" s="402"/>
      <c r="W213" s="929"/>
      <c r="X213" s="929"/>
      <c r="Y213" s="929"/>
      <c r="Z213" s="929"/>
      <c r="AA213" s="929"/>
      <c r="AB213" s="1402"/>
      <c r="AC213" s="424"/>
      <c r="AD213" s="424"/>
      <c r="AE213" s="424"/>
      <c r="AF213" s="424"/>
    </row>
    <row r="214" spans="1:32" s="1727" customFormat="1" ht="11.25" customHeight="1">
      <c r="A214" s="771"/>
      <c r="B214" s="1406"/>
      <c r="C214" s="1406"/>
      <c r="D214" s="232"/>
      <c r="J214" s="1751"/>
      <c r="L214" s="929"/>
      <c r="M214" s="1406"/>
      <c r="N214" s="1406"/>
      <c r="O214" s="929"/>
      <c r="P214" s="929"/>
      <c r="Q214" s="929"/>
      <c r="R214" s="929"/>
      <c r="S214" s="1406"/>
      <c r="T214" s="929"/>
      <c r="U214" s="929"/>
      <c r="V214" s="402"/>
      <c r="W214" s="929"/>
      <c r="X214" s="929"/>
      <c r="Y214" s="929"/>
      <c r="Z214" s="929"/>
      <c r="AA214" s="929"/>
      <c r="AB214" s="1402"/>
      <c r="AC214" s="424"/>
      <c r="AD214" s="424"/>
      <c r="AE214" s="424"/>
      <c r="AF214" s="424"/>
    </row>
    <row r="215" spans="1:32" s="1727" customFormat="1" ht="11.25" customHeight="1">
      <c r="A215" s="771"/>
      <c r="B215" s="1406"/>
      <c r="C215" s="1406"/>
      <c r="D215" s="232"/>
      <c r="J215" s="1751"/>
      <c r="L215" s="929"/>
      <c r="M215" s="1406"/>
      <c r="N215" s="1406"/>
      <c r="O215" s="929"/>
      <c r="P215" s="929"/>
      <c r="Q215" s="929"/>
      <c r="R215" s="929"/>
      <c r="S215" s="1406"/>
      <c r="T215" s="929"/>
      <c r="U215" s="929"/>
      <c r="V215" s="402"/>
      <c r="W215" s="929"/>
      <c r="X215" s="929"/>
      <c r="Y215" s="929"/>
      <c r="Z215" s="929"/>
      <c r="AA215" s="929"/>
      <c r="AB215" s="1402"/>
      <c r="AC215" s="424"/>
      <c r="AD215" s="424"/>
      <c r="AE215" s="424"/>
      <c r="AF215" s="424"/>
    </row>
    <row r="216" spans="1:32" s="1727" customFormat="1" ht="11.25" customHeight="1">
      <c r="A216" s="771"/>
      <c r="B216" s="1406"/>
      <c r="C216" s="1406"/>
      <c r="D216" s="232"/>
      <c r="J216" s="1751"/>
      <c r="L216" s="929"/>
      <c r="M216" s="1406"/>
      <c r="N216" s="1406"/>
      <c r="O216" s="929"/>
      <c r="P216" s="929"/>
      <c r="Q216" s="929"/>
      <c r="R216" s="929"/>
      <c r="S216" s="1406"/>
      <c r="T216" s="929"/>
      <c r="U216" s="929"/>
      <c r="V216" s="402"/>
      <c r="W216" s="929"/>
      <c r="X216" s="929"/>
      <c r="Y216" s="929"/>
      <c r="Z216" s="929"/>
      <c r="AA216" s="929"/>
      <c r="AB216" s="1402"/>
      <c r="AC216" s="424"/>
      <c r="AD216" s="424"/>
      <c r="AE216" s="424"/>
      <c r="AF216" s="424"/>
    </row>
    <row r="217" spans="1:32" s="1727" customFormat="1" ht="11.25" customHeight="1">
      <c r="A217" s="771"/>
      <c r="B217" s="1406"/>
      <c r="C217" s="1406"/>
      <c r="D217" s="232"/>
      <c r="J217" s="1751"/>
      <c r="L217" s="929"/>
      <c r="M217" s="1406"/>
      <c r="N217" s="1406"/>
      <c r="O217" s="929"/>
      <c r="P217" s="929"/>
      <c r="Q217" s="929"/>
      <c r="R217" s="929"/>
      <c r="S217" s="1406"/>
      <c r="T217" s="929"/>
      <c r="U217" s="929"/>
      <c r="V217" s="402"/>
      <c r="W217" s="929"/>
      <c r="X217" s="929"/>
      <c r="Y217" s="929"/>
      <c r="Z217" s="929"/>
      <c r="AA217" s="929"/>
      <c r="AB217" s="1402"/>
      <c r="AC217" s="424"/>
      <c r="AD217" s="424"/>
      <c r="AE217" s="424"/>
      <c r="AF217" s="424"/>
    </row>
    <row r="218" spans="1:32" s="1727" customFormat="1" ht="11.25" customHeight="1">
      <c r="A218" s="771"/>
      <c r="B218" s="1406"/>
      <c r="C218" s="1406"/>
      <c r="D218" s="232"/>
      <c r="J218" s="1751"/>
      <c r="L218" s="929"/>
      <c r="M218" s="1406"/>
      <c r="N218" s="1406"/>
      <c r="O218" s="929"/>
      <c r="P218" s="929"/>
      <c r="Q218" s="929"/>
      <c r="R218" s="929"/>
      <c r="S218" s="1406"/>
      <c r="T218" s="929"/>
      <c r="U218" s="929"/>
      <c r="V218" s="402"/>
      <c r="W218" s="929"/>
      <c r="X218" s="929"/>
      <c r="Y218" s="929"/>
      <c r="Z218" s="929"/>
      <c r="AA218" s="929"/>
      <c r="AB218" s="1402"/>
      <c r="AC218" s="424"/>
      <c r="AD218" s="424"/>
      <c r="AE218" s="424"/>
      <c r="AF218" s="424"/>
    </row>
    <row r="219" spans="1:32" s="1727" customFormat="1" ht="11.25" customHeight="1">
      <c r="A219" s="771"/>
      <c r="B219" s="1406"/>
      <c r="C219" s="1406"/>
      <c r="D219" s="232"/>
      <c r="J219" s="1751"/>
      <c r="L219" s="929"/>
      <c r="M219" s="1406"/>
      <c r="N219" s="1406"/>
      <c r="O219" s="929"/>
      <c r="P219" s="929"/>
      <c r="Q219" s="929"/>
      <c r="R219" s="929"/>
      <c r="S219" s="1406"/>
      <c r="T219" s="929"/>
      <c r="U219" s="929"/>
      <c r="V219" s="402"/>
      <c r="W219" s="929"/>
      <c r="X219" s="929"/>
      <c r="Y219" s="929"/>
      <c r="Z219" s="929"/>
      <c r="AA219" s="929"/>
      <c r="AB219" s="1402"/>
      <c r="AC219" s="424"/>
      <c r="AD219" s="424"/>
      <c r="AE219" s="424"/>
      <c r="AF219" s="424"/>
    </row>
    <row r="220" spans="1:32" s="1727" customFormat="1" ht="11.25" customHeight="1">
      <c r="A220" s="771"/>
      <c r="B220" s="1406"/>
      <c r="C220" s="1406"/>
      <c r="D220" s="232"/>
      <c r="J220" s="1751"/>
      <c r="L220" s="929"/>
      <c r="M220" s="1406"/>
      <c r="N220" s="1406"/>
      <c r="O220" s="929"/>
      <c r="P220" s="929"/>
      <c r="Q220" s="929"/>
      <c r="R220" s="929"/>
      <c r="S220" s="1406"/>
      <c r="T220" s="929"/>
      <c r="U220" s="929"/>
      <c r="V220" s="402"/>
      <c r="W220" s="929"/>
      <c r="X220" s="929"/>
      <c r="Y220" s="929"/>
      <c r="Z220" s="929"/>
      <c r="AA220" s="929"/>
      <c r="AB220" s="1402"/>
      <c r="AC220" s="424"/>
      <c r="AD220" s="424"/>
      <c r="AE220" s="424"/>
      <c r="AF220" s="424"/>
    </row>
    <row r="221" spans="1:32" s="1727" customFormat="1" ht="11.25" customHeight="1">
      <c r="A221" s="771"/>
      <c r="B221" s="1406"/>
      <c r="C221" s="1406"/>
      <c r="D221" s="232"/>
      <c r="J221" s="1751"/>
      <c r="L221" s="929"/>
      <c r="M221" s="1406"/>
      <c r="N221" s="1406"/>
      <c r="O221" s="929"/>
      <c r="P221" s="929"/>
      <c r="Q221" s="929"/>
      <c r="R221" s="929"/>
      <c r="S221" s="1406"/>
      <c r="T221" s="929"/>
      <c r="U221" s="929"/>
      <c r="V221" s="402"/>
      <c r="W221" s="929"/>
      <c r="X221" s="929"/>
      <c r="Y221" s="929"/>
      <c r="Z221" s="929"/>
      <c r="AA221" s="929"/>
      <c r="AB221" s="1402"/>
      <c r="AC221" s="424"/>
      <c r="AD221" s="424"/>
      <c r="AE221" s="424"/>
      <c r="AF221" s="424"/>
    </row>
    <row r="222" spans="1:32" s="1727" customFormat="1" ht="11.25" customHeight="1">
      <c r="A222" s="771"/>
      <c r="B222" s="1406"/>
      <c r="C222" s="1406"/>
      <c r="D222" s="232"/>
      <c r="J222" s="1751"/>
      <c r="L222" s="929"/>
      <c r="M222" s="1406"/>
      <c r="N222" s="1406"/>
      <c r="O222" s="929"/>
      <c r="P222" s="929"/>
      <c r="Q222" s="929"/>
      <c r="R222" s="929"/>
      <c r="S222" s="1406"/>
      <c r="T222" s="929"/>
      <c r="U222" s="929"/>
      <c r="V222" s="402"/>
      <c r="W222" s="929"/>
      <c r="X222" s="929"/>
      <c r="Y222" s="929"/>
      <c r="Z222" s="929"/>
      <c r="AA222" s="929"/>
      <c r="AB222" s="1402"/>
      <c r="AC222" s="424"/>
      <c r="AD222" s="424"/>
      <c r="AE222" s="424"/>
      <c r="AF222" s="424"/>
    </row>
    <row r="223" spans="1:32" s="1727" customFormat="1" ht="11.25" customHeight="1">
      <c r="A223" s="771"/>
      <c r="B223" s="1406"/>
      <c r="C223" s="1406"/>
      <c r="D223" s="232"/>
      <c r="J223" s="1751"/>
      <c r="L223" s="929"/>
      <c r="M223" s="1406"/>
      <c r="N223" s="1406"/>
      <c r="O223" s="929"/>
      <c r="P223" s="929"/>
      <c r="Q223" s="929"/>
      <c r="R223" s="929"/>
      <c r="S223" s="1406"/>
      <c r="T223" s="929"/>
      <c r="U223" s="929"/>
      <c r="V223" s="402"/>
      <c r="W223" s="929"/>
      <c r="X223" s="929"/>
      <c r="Y223" s="929"/>
      <c r="Z223" s="929"/>
      <c r="AA223" s="929"/>
      <c r="AB223" s="1402"/>
      <c r="AC223" s="424"/>
      <c r="AD223" s="424"/>
      <c r="AE223" s="424"/>
      <c r="AF223" s="424"/>
    </row>
    <row r="224" spans="1:32" s="1727" customFormat="1" ht="11.25" customHeight="1">
      <c r="A224" s="771"/>
      <c r="B224" s="1406"/>
      <c r="C224" s="1406"/>
      <c r="D224" s="232"/>
      <c r="J224" s="1751"/>
      <c r="L224" s="929"/>
      <c r="M224" s="1406"/>
      <c r="N224" s="1406"/>
      <c r="O224" s="929"/>
      <c r="P224" s="929"/>
      <c r="Q224" s="929"/>
      <c r="R224" s="929"/>
      <c r="S224" s="1406"/>
      <c r="T224" s="929"/>
      <c r="U224" s="929"/>
      <c r="V224" s="402"/>
      <c r="W224" s="929"/>
      <c r="X224" s="929"/>
      <c r="Y224" s="929"/>
      <c r="Z224" s="929"/>
      <c r="AA224" s="929"/>
      <c r="AB224" s="1402"/>
      <c r="AC224" s="424"/>
      <c r="AD224" s="424"/>
      <c r="AE224" s="424"/>
      <c r="AF224" s="424"/>
    </row>
    <row r="225" spans="1:32" s="1727" customFormat="1" ht="11.25" customHeight="1">
      <c r="A225" s="771"/>
      <c r="B225" s="1406"/>
      <c r="C225" s="1406"/>
      <c r="D225" s="232"/>
      <c r="J225" s="1751"/>
      <c r="L225" s="929"/>
      <c r="M225" s="1406"/>
      <c r="N225" s="1406"/>
      <c r="O225" s="929"/>
      <c r="P225" s="929"/>
      <c r="Q225" s="929"/>
      <c r="R225" s="929"/>
      <c r="S225" s="1406"/>
      <c r="T225" s="929"/>
      <c r="U225" s="929"/>
      <c r="V225" s="402"/>
      <c r="W225" s="929"/>
      <c r="X225" s="929"/>
      <c r="Y225" s="929"/>
      <c r="Z225" s="929"/>
      <c r="AA225" s="929"/>
      <c r="AB225" s="1402"/>
      <c r="AC225" s="424"/>
      <c r="AD225" s="424"/>
      <c r="AE225" s="424"/>
      <c r="AF225" s="424"/>
    </row>
    <row r="226" spans="1:32" s="1727" customFormat="1" ht="11.25" customHeight="1">
      <c r="A226" s="771"/>
      <c r="B226" s="1406"/>
      <c r="C226" s="1406"/>
      <c r="D226" s="232"/>
      <c r="J226" s="1751"/>
      <c r="L226" s="929"/>
      <c r="M226" s="1406"/>
      <c r="N226" s="1406"/>
      <c r="O226" s="929"/>
      <c r="P226" s="929"/>
      <c r="Q226" s="929"/>
      <c r="R226" s="929"/>
      <c r="S226" s="1406"/>
      <c r="T226" s="929"/>
      <c r="U226" s="929"/>
      <c r="V226" s="402"/>
      <c r="W226" s="929"/>
      <c r="X226" s="929"/>
      <c r="Y226" s="929"/>
      <c r="Z226" s="929"/>
      <c r="AA226" s="929"/>
      <c r="AB226" s="1402"/>
      <c r="AC226" s="424"/>
      <c r="AD226" s="424"/>
      <c r="AE226" s="424"/>
      <c r="AF226" s="424"/>
    </row>
    <row r="227" spans="1:32" s="1727" customFormat="1" ht="11.25" customHeight="1">
      <c r="A227" s="771"/>
      <c r="B227" s="1406"/>
      <c r="C227" s="1406"/>
      <c r="D227" s="232"/>
      <c r="J227" s="1751"/>
      <c r="L227" s="929"/>
      <c r="M227" s="1406"/>
      <c r="N227" s="1406"/>
      <c r="O227" s="929"/>
      <c r="P227" s="929"/>
      <c r="Q227" s="929"/>
      <c r="R227" s="929"/>
      <c r="S227" s="1406"/>
      <c r="T227" s="929"/>
      <c r="U227" s="929"/>
      <c r="V227" s="402"/>
      <c r="W227" s="929"/>
      <c r="X227" s="929"/>
      <c r="Y227" s="929"/>
      <c r="Z227" s="929"/>
      <c r="AA227" s="929"/>
      <c r="AB227" s="1402"/>
      <c r="AC227" s="424"/>
      <c r="AD227" s="424"/>
      <c r="AE227" s="424"/>
      <c r="AF227" s="424"/>
    </row>
    <row r="228" spans="1:32" s="1727" customFormat="1" ht="11.25" customHeight="1">
      <c r="A228" s="771"/>
      <c r="B228" s="1406"/>
      <c r="C228" s="1406"/>
      <c r="D228" s="232"/>
      <c r="J228" s="1751"/>
      <c r="L228" s="929"/>
      <c r="M228" s="1406"/>
      <c r="N228" s="1406"/>
      <c r="O228" s="929"/>
      <c r="P228" s="929"/>
      <c r="Q228" s="929"/>
      <c r="R228" s="929"/>
      <c r="S228" s="1406"/>
      <c r="T228" s="929"/>
      <c r="U228" s="929"/>
      <c r="V228" s="402"/>
      <c r="W228" s="929"/>
      <c r="X228" s="929"/>
      <c r="Y228" s="929"/>
      <c r="Z228" s="929"/>
      <c r="AA228" s="929"/>
      <c r="AB228" s="1402"/>
      <c r="AC228" s="424"/>
      <c r="AD228" s="424"/>
      <c r="AE228" s="424"/>
      <c r="AF228" s="424"/>
    </row>
    <row r="229" spans="1:32" s="1727" customFormat="1" ht="11.25" customHeight="1">
      <c r="A229" s="771"/>
      <c r="B229" s="1406"/>
      <c r="C229" s="1406"/>
      <c r="D229" s="232"/>
      <c r="J229" s="1751"/>
      <c r="L229" s="929"/>
      <c r="M229" s="1406"/>
      <c r="N229" s="1406"/>
      <c r="O229" s="929"/>
      <c r="P229" s="929"/>
      <c r="Q229" s="929"/>
      <c r="R229" s="929"/>
      <c r="S229" s="1406"/>
      <c r="T229" s="929"/>
      <c r="U229" s="929"/>
      <c r="V229" s="402"/>
      <c r="W229" s="929"/>
      <c r="X229" s="929"/>
      <c r="Y229" s="929"/>
      <c r="Z229" s="929"/>
      <c r="AA229" s="929"/>
      <c r="AB229" s="1402"/>
      <c r="AC229" s="424"/>
      <c r="AD229" s="424"/>
      <c r="AE229" s="424"/>
      <c r="AF229" s="424"/>
    </row>
    <row r="230" spans="1:32" s="1727" customFormat="1" ht="11.25" customHeight="1">
      <c r="A230" s="771"/>
      <c r="B230" s="1406"/>
      <c r="C230" s="1406"/>
      <c r="D230" s="232"/>
      <c r="J230" s="1751"/>
      <c r="L230" s="929"/>
      <c r="M230" s="1406"/>
      <c r="N230" s="1406"/>
      <c r="O230" s="929"/>
      <c r="P230" s="929"/>
      <c r="Q230" s="929"/>
      <c r="R230" s="929"/>
      <c r="S230" s="1406"/>
      <c r="T230" s="929"/>
      <c r="U230" s="929"/>
      <c r="V230" s="402"/>
      <c r="W230" s="929"/>
      <c r="X230" s="929"/>
      <c r="Y230" s="929"/>
      <c r="Z230" s="929"/>
      <c r="AA230" s="929"/>
      <c r="AB230" s="1402"/>
      <c r="AC230" s="424"/>
      <c r="AD230" s="424"/>
      <c r="AE230" s="424"/>
      <c r="AF230" s="424"/>
    </row>
    <row r="231" spans="1:32" s="1727" customFormat="1" ht="11.25" customHeight="1">
      <c r="A231" s="771"/>
      <c r="B231" s="1406"/>
      <c r="C231" s="1406"/>
      <c r="D231" s="232"/>
      <c r="J231" s="1751"/>
      <c r="L231" s="929"/>
      <c r="M231" s="1406"/>
      <c r="N231" s="1406"/>
      <c r="O231" s="929"/>
      <c r="P231" s="929"/>
      <c r="Q231" s="929"/>
      <c r="R231" s="929"/>
      <c r="S231" s="1406"/>
      <c r="T231" s="929"/>
      <c r="U231" s="929"/>
      <c r="V231" s="402"/>
      <c r="W231" s="929"/>
      <c r="X231" s="929"/>
      <c r="Y231" s="929"/>
      <c r="Z231" s="929"/>
      <c r="AA231" s="929"/>
      <c r="AB231" s="1402"/>
      <c r="AC231" s="424"/>
      <c r="AD231" s="424"/>
      <c r="AE231" s="424"/>
      <c r="AF231" s="424"/>
    </row>
    <row r="232" spans="1:32" s="1727" customFormat="1" ht="11.25" customHeight="1">
      <c r="A232" s="771"/>
      <c r="B232" s="1406"/>
      <c r="C232" s="1406"/>
      <c r="D232" s="232"/>
      <c r="J232" s="1751"/>
      <c r="L232" s="929"/>
      <c r="M232" s="1406"/>
      <c r="N232" s="1406"/>
      <c r="O232" s="929"/>
      <c r="P232" s="929"/>
      <c r="Q232" s="929"/>
      <c r="R232" s="929"/>
      <c r="S232" s="1406"/>
      <c r="T232" s="929"/>
      <c r="U232" s="929"/>
      <c r="V232" s="402"/>
      <c r="W232" s="929"/>
      <c r="X232" s="929"/>
      <c r="Y232" s="929"/>
      <c r="Z232" s="929"/>
      <c r="AA232" s="929"/>
      <c r="AB232" s="1402"/>
      <c r="AC232" s="424"/>
      <c r="AD232" s="424"/>
      <c r="AE232" s="424"/>
      <c r="AF232" s="424"/>
    </row>
    <row r="233" spans="1:32" s="1727" customFormat="1" ht="11.25" customHeight="1">
      <c r="A233" s="771"/>
      <c r="B233" s="1406"/>
      <c r="C233" s="1406"/>
      <c r="D233" s="232"/>
      <c r="J233" s="1751"/>
      <c r="L233" s="929"/>
      <c r="M233" s="1406"/>
      <c r="N233" s="1406"/>
      <c r="O233" s="929"/>
      <c r="P233" s="929"/>
      <c r="Q233" s="929"/>
      <c r="R233" s="929"/>
      <c r="S233" s="1406"/>
      <c r="T233" s="929"/>
      <c r="U233" s="929"/>
      <c r="V233" s="402"/>
      <c r="W233" s="929"/>
      <c r="X233" s="929"/>
      <c r="Y233" s="929"/>
      <c r="Z233" s="929"/>
      <c r="AA233" s="929"/>
      <c r="AB233" s="1402"/>
      <c r="AC233" s="424"/>
      <c r="AD233" s="424"/>
      <c r="AE233" s="424"/>
      <c r="AF233" s="424"/>
    </row>
    <row r="234" spans="1:32" s="1727" customFormat="1" ht="11.25" customHeight="1">
      <c r="A234" s="771"/>
      <c r="B234" s="1406"/>
      <c r="C234" s="1406"/>
      <c r="D234" s="232"/>
      <c r="J234" s="1751"/>
      <c r="L234" s="929"/>
      <c r="M234" s="1406"/>
      <c r="N234" s="1406"/>
      <c r="O234" s="929"/>
      <c r="P234" s="929"/>
      <c r="Q234" s="929"/>
      <c r="R234" s="929"/>
      <c r="S234" s="1406"/>
      <c r="T234" s="929"/>
      <c r="U234" s="929"/>
      <c r="V234" s="402"/>
      <c r="W234" s="929"/>
      <c r="X234" s="929"/>
      <c r="Y234" s="929"/>
      <c r="Z234" s="929"/>
      <c r="AA234" s="929"/>
      <c r="AB234" s="1402"/>
      <c r="AC234" s="424"/>
      <c r="AD234" s="424"/>
      <c r="AE234" s="424"/>
      <c r="AF234" s="424"/>
    </row>
    <row r="235" spans="1:32" s="1727" customFormat="1" ht="11.25" customHeight="1">
      <c r="A235" s="771"/>
      <c r="B235" s="1406"/>
      <c r="C235" s="1406"/>
      <c r="D235" s="232"/>
      <c r="J235" s="1751"/>
      <c r="L235" s="929"/>
      <c r="M235" s="1406"/>
      <c r="N235" s="1406"/>
      <c r="O235" s="929"/>
      <c r="P235" s="929"/>
      <c r="Q235" s="929"/>
      <c r="R235" s="929"/>
      <c r="S235" s="1406"/>
      <c r="T235" s="929"/>
      <c r="U235" s="929"/>
      <c r="V235" s="402"/>
      <c r="W235" s="929"/>
      <c r="X235" s="929"/>
      <c r="Y235" s="929"/>
      <c r="Z235" s="929"/>
      <c r="AA235" s="929"/>
      <c r="AB235" s="1402"/>
      <c r="AC235" s="424"/>
      <c r="AD235" s="424"/>
      <c r="AE235" s="424"/>
      <c r="AF235" s="424"/>
    </row>
    <row r="236" spans="1:32" s="1727" customFormat="1" ht="11.25" customHeight="1">
      <c r="A236" s="771"/>
      <c r="B236" s="1406"/>
      <c r="C236" s="1406"/>
      <c r="D236" s="232"/>
      <c r="J236" s="1751"/>
      <c r="L236" s="929"/>
      <c r="M236" s="1406"/>
      <c r="N236" s="1406"/>
      <c r="O236" s="929"/>
      <c r="P236" s="929"/>
      <c r="Q236" s="929"/>
      <c r="R236" s="929"/>
      <c r="S236" s="1406"/>
      <c r="T236" s="929"/>
      <c r="U236" s="929"/>
      <c r="V236" s="402"/>
      <c r="W236" s="929"/>
      <c r="X236" s="929"/>
      <c r="Y236" s="929"/>
      <c r="Z236" s="929"/>
      <c r="AA236" s="929"/>
      <c r="AB236" s="1402"/>
      <c r="AC236" s="424"/>
      <c r="AD236" s="424"/>
      <c r="AE236" s="424"/>
      <c r="AF236" s="424"/>
    </row>
    <row r="237" spans="1:32" s="1727" customFormat="1" ht="11.25" customHeight="1">
      <c r="A237" s="771"/>
      <c r="B237" s="1406"/>
      <c r="C237" s="1406"/>
      <c r="D237" s="232"/>
      <c r="J237" s="1751"/>
      <c r="L237" s="929"/>
      <c r="M237" s="1406"/>
      <c r="N237" s="1406"/>
      <c r="O237" s="929"/>
      <c r="P237" s="929"/>
      <c r="Q237" s="929"/>
      <c r="R237" s="929"/>
      <c r="S237" s="1406"/>
      <c r="T237" s="929"/>
      <c r="U237" s="929"/>
      <c r="V237" s="402"/>
      <c r="W237" s="929"/>
      <c r="X237" s="929"/>
      <c r="Y237" s="929"/>
      <c r="Z237" s="929"/>
      <c r="AA237" s="929"/>
      <c r="AB237" s="1402"/>
      <c r="AC237" s="424"/>
      <c r="AD237" s="424"/>
      <c r="AE237" s="424"/>
      <c r="AF237" s="424"/>
    </row>
    <row r="238" spans="1:32" s="1727" customFormat="1" ht="11.25" customHeight="1">
      <c r="A238" s="771"/>
      <c r="B238" s="1406"/>
      <c r="C238" s="1406"/>
      <c r="D238" s="232"/>
      <c r="J238" s="1751"/>
      <c r="L238" s="929"/>
      <c r="M238" s="1406"/>
      <c r="N238" s="1406"/>
      <c r="O238" s="929"/>
      <c r="P238" s="929"/>
      <c r="Q238" s="929"/>
      <c r="R238" s="929"/>
      <c r="S238" s="1406"/>
      <c r="T238" s="929"/>
      <c r="U238" s="929"/>
      <c r="V238" s="402"/>
      <c r="W238" s="929"/>
      <c r="X238" s="929"/>
      <c r="Y238" s="929"/>
      <c r="Z238" s="929"/>
      <c r="AA238" s="929"/>
      <c r="AB238" s="1402"/>
      <c r="AC238" s="424"/>
      <c r="AD238" s="424"/>
      <c r="AE238" s="424"/>
      <c r="AF238" s="424"/>
    </row>
    <row r="239" spans="1:32" s="1727" customFormat="1" ht="11.25" customHeight="1">
      <c r="A239" s="771"/>
      <c r="B239" s="1406"/>
      <c r="C239" s="1406"/>
      <c r="D239" s="232"/>
      <c r="J239" s="1751"/>
      <c r="L239" s="929"/>
      <c r="M239" s="1406"/>
      <c r="N239" s="1406"/>
      <c r="O239" s="929"/>
      <c r="P239" s="929"/>
      <c r="Q239" s="929"/>
      <c r="R239" s="929"/>
      <c r="S239" s="1406"/>
      <c r="T239" s="929"/>
      <c r="U239" s="929"/>
      <c r="V239" s="402"/>
      <c r="W239" s="929"/>
      <c r="X239" s="929"/>
      <c r="Y239" s="929"/>
      <c r="Z239" s="929"/>
      <c r="AA239" s="929"/>
      <c r="AB239" s="1402"/>
      <c r="AC239" s="424"/>
      <c r="AD239" s="424"/>
      <c r="AE239" s="424"/>
      <c r="AF239" s="424"/>
    </row>
    <row r="240" spans="1:32" s="1727" customFormat="1" ht="11.25" customHeight="1">
      <c r="A240" s="771"/>
      <c r="B240" s="1406"/>
      <c r="C240" s="1406"/>
      <c r="D240" s="232"/>
      <c r="J240" s="1751"/>
      <c r="L240" s="929"/>
      <c r="M240" s="1406"/>
      <c r="N240" s="1406"/>
      <c r="O240" s="929"/>
      <c r="P240" s="929"/>
      <c r="Q240" s="929"/>
      <c r="R240" s="929"/>
      <c r="S240" s="1406"/>
      <c r="T240" s="929"/>
      <c r="U240" s="929"/>
      <c r="V240" s="402"/>
      <c r="W240" s="929"/>
      <c r="X240" s="929"/>
      <c r="Y240" s="929"/>
      <c r="Z240" s="929"/>
      <c r="AA240" s="929"/>
      <c r="AB240" s="1402"/>
      <c r="AC240" s="424"/>
      <c r="AD240" s="424"/>
      <c r="AE240" s="424"/>
      <c r="AF240" s="424"/>
    </row>
    <row r="241" spans="1:32" s="1727" customFormat="1" ht="11.25" customHeight="1">
      <c r="A241" s="771"/>
      <c r="B241" s="1406"/>
      <c r="C241" s="1406"/>
      <c r="D241" s="232"/>
      <c r="J241" s="1751"/>
      <c r="L241" s="929"/>
      <c r="M241" s="1406"/>
      <c r="N241" s="1406"/>
      <c r="O241" s="929"/>
      <c r="P241" s="929"/>
      <c r="Q241" s="929"/>
      <c r="R241" s="929"/>
      <c r="S241" s="1406"/>
      <c r="T241" s="929"/>
      <c r="U241" s="929"/>
      <c r="V241" s="402"/>
      <c r="W241" s="929"/>
      <c r="X241" s="929"/>
      <c r="Y241" s="929"/>
      <c r="Z241" s="929"/>
      <c r="AA241" s="929"/>
      <c r="AB241" s="1402"/>
      <c r="AC241" s="424"/>
      <c r="AD241" s="424"/>
      <c r="AE241" s="424"/>
      <c r="AF241" s="424"/>
    </row>
    <row r="242" spans="1:32" s="1727" customFormat="1" ht="11.25" customHeight="1">
      <c r="A242" s="771"/>
      <c r="B242" s="1406"/>
      <c r="C242" s="1406"/>
      <c r="D242" s="232"/>
      <c r="J242" s="1751"/>
      <c r="L242" s="929"/>
      <c r="M242" s="1406"/>
      <c r="N242" s="1406"/>
      <c r="O242" s="929"/>
      <c r="P242" s="929"/>
      <c r="Q242" s="929"/>
      <c r="R242" s="929"/>
      <c r="S242" s="1406"/>
      <c r="T242" s="929"/>
      <c r="U242" s="929"/>
      <c r="V242" s="402"/>
      <c r="W242" s="929"/>
      <c r="X242" s="929"/>
      <c r="Y242" s="929"/>
      <c r="Z242" s="929"/>
      <c r="AA242" s="929"/>
      <c r="AB242" s="1402"/>
      <c r="AC242" s="424"/>
      <c r="AD242" s="424"/>
      <c r="AE242" s="424"/>
      <c r="AF242" s="424"/>
    </row>
    <row r="243" spans="1:32" s="1727" customFormat="1" ht="11.25" customHeight="1">
      <c r="A243" s="771"/>
      <c r="B243" s="1406"/>
      <c r="C243" s="1406"/>
      <c r="D243" s="232"/>
      <c r="J243" s="1751"/>
      <c r="L243" s="929"/>
      <c r="M243" s="1406"/>
      <c r="N243" s="1406"/>
      <c r="O243" s="929"/>
      <c r="P243" s="929"/>
      <c r="Q243" s="929"/>
      <c r="R243" s="929"/>
      <c r="S243" s="1406"/>
      <c r="T243" s="929"/>
      <c r="U243" s="929"/>
      <c r="V243" s="402"/>
      <c r="W243" s="929"/>
      <c r="X243" s="929"/>
      <c r="Y243" s="929"/>
      <c r="Z243" s="929"/>
      <c r="AA243" s="929"/>
      <c r="AB243" s="1402"/>
      <c r="AC243" s="424"/>
      <c r="AD243" s="424"/>
      <c r="AE243" s="424"/>
      <c r="AF243" s="424"/>
    </row>
    <row r="244" spans="1:32" s="1727" customFormat="1" ht="11.25" customHeight="1">
      <c r="A244" s="771"/>
      <c r="B244" s="1406"/>
      <c r="C244" s="1406"/>
      <c r="D244" s="232"/>
      <c r="J244" s="1751"/>
      <c r="L244" s="929"/>
      <c r="M244" s="1406"/>
      <c r="N244" s="1406"/>
      <c r="O244" s="929"/>
      <c r="P244" s="929"/>
      <c r="Q244" s="929"/>
      <c r="R244" s="929"/>
      <c r="S244" s="1406"/>
      <c r="T244" s="929"/>
      <c r="U244" s="929"/>
      <c r="V244" s="402"/>
      <c r="W244" s="929"/>
      <c r="X244" s="929"/>
      <c r="Y244" s="929"/>
      <c r="Z244" s="929"/>
      <c r="AA244" s="929"/>
      <c r="AB244" s="1402"/>
      <c r="AC244" s="424"/>
      <c r="AD244" s="424"/>
      <c r="AE244" s="424"/>
      <c r="AF244" s="424"/>
    </row>
    <row r="245" spans="1:32" s="1727" customFormat="1" ht="11.25" customHeight="1">
      <c r="A245" s="771"/>
      <c r="B245" s="1406"/>
      <c r="C245" s="1406"/>
      <c r="D245" s="232"/>
      <c r="J245" s="1751"/>
      <c r="L245" s="929"/>
      <c r="M245" s="1406"/>
      <c r="N245" s="1406"/>
      <c r="O245" s="929"/>
      <c r="P245" s="929"/>
      <c r="Q245" s="929"/>
      <c r="R245" s="929"/>
      <c r="S245" s="1406"/>
      <c r="T245" s="929"/>
      <c r="U245" s="929"/>
      <c r="V245" s="402"/>
      <c r="W245" s="929"/>
      <c r="X245" s="929"/>
      <c r="Y245" s="929"/>
      <c r="Z245" s="929"/>
      <c r="AA245" s="929"/>
      <c r="AB245" s="1402"/>
      <c r="AC245" s="424"/>
      <c r="AD245" s="424"/>
      <c r="AE245" s="424"/>
      <c r="AF245" s="424"/>
    </row>
    <row r="246" spans="1:32" s="1727" customFormat="1" ht="11.25" customHeight="1">
      <c r="A246" s="771"/>
      <c r="B246" s="1406"/>
      <c r="C246" s="1406"/>
      <c r="D246" s="232"/>
      <c r="J246" s="1751"/>
      <c r="L246" s="929"/>
      <c r="M246" s="1406"/>
      <c r="N246" s="1406"/>
      <c r="O246" s="929"/>
      <c r="P246" s="929"/>
      <c r="Q246" s="929"/>
      <c r="R246" s="929"/>
      <c r="S246" s="1406"/>
      <c r="T246" s="929"/>
      <c r="U246" s="929"/>
      <c r="V246" s="402"/>
      <c r="W246" s="929"/>
      <c r="X246" s="929"/>
      <c r="Y246" s="929"/>
      <c r="Z246" s="929"/>
      <c r="AA246" s="929"/>
      <c r="AB246" s="1402"/>
      <c r="AC246" s="424"/>
      <c r="AD246" s="424"/>
      <c r="AE246" s="424"/>
      <c r="AF246" s="424"/>
    </row>
    <row r="247" spans="1:32" s="1727" customFormat="1" ht="11.25" customHeight="1">
      <c r="A247" s="771"/>
      <c r="B247" s="1406"/>
      <c r="C247" s="1406"/>
      <c r="D247" s="232"/>
      <c r="J247" s="1751"/>
      <c r="L247" s="929"/>
      <c r="M247" s="1406"/>
      <c r="N247" s="1406"/>
      <c r="O247" s="929"/>
      <c r="P247" s="929"/>
      <c r="Q247" s="929"/>
      <c r="R247" s="929"/>
      <c r="S247" s="1406"/>
      <c r="T247" s="929"/>
      <c r="U247" s="929"/>
      <c r="V247" s="402"/>
      <c r="W247" s="929"/>
      <c r="X247" s="929"/>
      <c r="Y247" s="929"/>
      <c r="Z247" s="929"/>
      <c r="AA247" s="929"/>
      <c r="AB247" s="1402"/>
      <c r="AC247" s="424"/>
      <c r="AD247" s="424"/>
      <c r="AE247" s="424"/>
      <c r="AF247" s="424"/>
    </row>
    <row r="248" spans="1:32" s="1727" customFormat="1" ht="11.25" customHeight="1">
      <c r="A248" s="771"/>
      <c r="B248" s="1406"/>
      <c r="C248" s="1406"/>
      <c r="D248" s="232"/>
      <c r="J248" s="1751"/>
      <c r="L248" s="929"/>
      <c r="M248" s="1406"/>
      <c r="N248" s="1406"/>
      <c r="O248" s="929"/>
      <c r="P248" s="929"/>
      <c r="Q248" s="929"/>
      <c r="R248" s="929"/>
      <c r="S248" s="1406"/>
      <c r="T248" s="929"/>
      <c r="U248" s="929"/>
      <c r="V248" s="402"/>
      <c r="W248" s="929"/>
      <c r="X248" s="929"/>
      <c r="Y248" s="929"/>
      <c r="Z248" s="929"/>
      <c r="AA248" s="929"/>
      <c r="AB248" s="1402"/>
      <c r="AC248" s="424"/>
      <c r="AD248" s="424"/>
      <c r="AE248" s="424"/>
      <c r="AF248" s="424"/>
    </row>
    <row r="249" spans="1:32" s="1727" customFormat="1" ht="11.25" customHeight="1">
      <c r="A249" s="771"/>
      <c r="B249" s="1406"/>
      <c r="C249" s="1406"/>
      <c r="D249" s="232"/>
      <c r="J249" s="1751"/>
      <c r="L249" s="929"/>
      <c r="M249" s="1406"/>
      <c r="N249" s="1406"/>
      <c r="O249" s="929"/>
      <c r="P249" s="929"/>
      <c r="Q249" s="929"/>
      <c r="R249" s="929"/>
      <c r="S249" s="1406"/>
      <c r="T249" s="929"/>
      <c r="U249" s="929"/>
      <c r="V249" s="402"/>
      <c r="W249" s="929"/>
      <c r="X249" s="929"/>
      <c r="Y249" s="929"/>
      <c r="Z249" s="929"/>
      <c r="AA249" s="929"/>
      <c r="AB249" s="1402"/>
      <c r="AC249" s="424"/>
      <c r="AD249" s="424"/>
      <c r="AE249" s="424"/>
      <c r="AF249" s="424"/>
    </row>
    <row r="250" spans="1:32" s="1727" customFormat="1" ht="11.25" customHeight="1">
      <c r="A250" s="771"/>
      <c r="B250" s="1406"/>
      <c r="C250" s="1406"/>
      <c r="D250" s="232"/>
      <c r="J250" s="1751"/>
      <c r="L250" s="929"/>
      <c r="M250" s="1406"/>
      <c r="N250" s="1406"/>
      <c r="O250" s="929"/>
      <c r="P250" s="929"/>
      <c r="Q250" s="929"/>
      <c r="R250" s="929"/>
      <c r="S250" s="1406"/>
      <c r="T250" s="929"/>
      <c r="U250" s="929"/>
      <c r="V250" s="402"/>
      <c r="W250" s="929"/>
      <c r="X250" s="929"/>
      <c r="Y250" s="929"/>
      <c r="Z250" s="929"/>
      <c r="AA250" s="929"/>
      <c r="AB250" s="1402"/>
      <c r="AC250" s="424"/>
      <c r="AD250" s="424"/>
      <c r="AE250" s="424"/>
      <c r="AF250" s="424"/>
    </row>
    <row r="251" spans="1:32" s="1727" customFormat="1" ht="11.25" customHeight="1">
      <c r="A251" s="771"/>
      <c r="B251" s="1406"/>
      <c r="C251" s="1406"/>
      <c r="D251" s="232"/>
      <c r="J251" s="1751"/>
      <c r="L251" s="929"/>
      <c r="M251" s="1406"/>
      <c r="N251" s="1406"/>
      <c r="O251" s="929"/>
      <c r="P251" s="929"/>
      <c r="Q251" s="929"/>
      <c r="R251" s="929"/>
      <c r="S251" s="1406"/>
      <c r="T251" s="929"/>
      <c r="U251" s="929"/>
      <c r="V251" s="402"/>
      <c r="W251" s="929"/>
      <c r="X251" s="929"/>
      <c r="Y251" s="929"/>
      <c r="Z251" s="929"/>
      <c r="AA251" s="929"/>
      <c r="AB251" s="1402"/>
      <c r="AC251" s="424"/>
      <c r="AD251" s="424"/>
      <c r="AE251" s="424"/>
      <c r="AF251" s="424"/>
    </row>
    <row r="252" spans="1:32" s="1727" customFormat="1" ht="11.25" customHeight="1">
      <c r="A252" s="771"/>
      <c r="B252" s="1406"/>
      <c r="C252" s="1406"/>
      <c r="D252" s="232"/>
      <c r="J252" s="1751"/>
      <c r="L252" s="929"/>
      <c r="M252" s="1406"/>
      <c r="N252" s="1406"/>
      <c r="O252" s="929"/>
      <c r="P252" s="929"/>
      <c r="Q252" s="929"/>
      <c r="R252" s="929"/>
      <c r="S252" s="1406"/>
      <c r="T252" s="929"/>
      <c r="U252" s="929"/>
      <c r="V252" s="402"/>
      <c r="W252" s="929"/>
      <c r="X252" s="929"/>
      <c r="Y252" s="929"/>
      <c r="Z252" s="929"/>
      <c r="AA252" s="929"/>
      <c r="AB252" s="1402"/>
      <c r="AC252" s="424"/>
      <c r="AD252" s="424"/>
      <c r="AE252" s="424"/>
      <c r="AF252" s="424"/>
    </row>
    <row r="253" spans="1:32" s="1727" customFormat="1" ht="11.25" customHeight="1">
      <c r="A253" s="771"/>
      <c r="B253" s="1406"/>
      <c r="C253" s="1406"/>
      <c r="D253" s="232"/>
      <c r="J253" s="1751"/>
      <c r="L253" s="929"/>
      <c r="M253" s="1406"/>
      <c r="N253" s="1406"/>
      <c r="O253" s="929"/>
      <c r="P253" s="929"/>
      <c r="Q253" s="929"/>
      <c r="R253" s="929"/>
      <c r="S253" s="1406"/>
      <c r="T253" s="929"/>
      <c r="U253" s="929"/>
      <c r="V253" s="402"/>
      <c r="W253" s="929"/>
      <c r="X253" s="929"/>
      <c r="Y253" s="929"/>
      <c r="Z253" s="929"/>
      <c r="AA253" s="929"/>
      <c r="AB253" s="1402"/>
      <c r="AC253" s="424"/>
      <c r="AD253" s="424"/>
      <c r="AE253" s="424"/>
      <c r="AF253" s="424"/>
    </row>
    <row r="254" spans="1:32" s="1727" customFormat="1" ht="11.25" customHeight="1">
      <c r="A254" s="771"/>
      <c r="B254" s="1406"/>
      <c r="C254" s="1406"/>
      <c r="D254" s="232"/>
      <c r="J254" s="1751"/>
      <c r="L254" s="929"/>
      <c r="M254" s="1406"/>
      <c r="N254" s="1406"/>
      <c r="O254" s="929"/>
      <c r="P254" s="929"/>
      <c r="Q254" s="929"/>
      <c r="R254" s="929"/>
      <c r="S254" s="1406"/>
      <c r="T254" s="929"/>
      <c r="U254" s="929"/>
      <c r="V254" s="402"/>
      <c r="W254" s="929"/>
      <c r="X254" s="929"/>
      <c r="Y254" s="929"/>
      <c r="Z254" s="929"/>
      <c r="AA254" s="929"/>
      <c r="AB254" s="1402"/>
      <c r="AC254" s="424"/>
      <c r="AD254" s="424"/>
      <c r="AE254" s="424"/>
      <c r="AF254" s="424"/>
    </row>
    <row r="255" spans="1:32" s="1727" customFormat="1" ht="11.25" customHeight="1">
      <c r="A255" s="771"/>
      <c r="B255" s="1406"/>
      <c r="C255" s="1406"/>
      <c r="D255" s="232"/>
      <c r="J255" s="1751"/>
      <c r="L255" s="929"/>
      <c r="M255" s="1406"/>
      <c r="N255" s="1406"/>
      <c r="O255" s="929"/>
      <c r="P255" s="929"/>
      <c r="Q255" s="929"/>
      <c r="R255" s="929"/>
      <c r="S255" s="1406"/>
      <c r="T255" s="929"/>
      <c r="U255" s="929"/>
      <c r="V255" s="402"/>
      <c r="W255" s="929"/>
      <c r="X255" s="929"/>
      <c r="Y255" s="929"/>
      <c r="Z255" s="929"/>
      <c r="AA255" s="929"/>
      <c r="AB255" s="1402"/>
      <c r="AC255" s="424"/>
      <c r="AD255" s="424"/>
      <c r="AE255" s="424"/>
      <c r="AF255" s="424"/>
    </row>
    <row r="256" spans="1:32" s="1727" customFormat="1" ht="11.25" customHeight="1">
      <c r="A256" s="771"/>
      <c r="B256" s="1406"/>
      <c r="C256" s="1406"/>
      <c r="D256" s="232"/>
      <c r="J256" s="1751"/>
      <c r="L256" s="929"/>
      <c r="M256" s="1406"/>
      <c r="N256" s="1406"/>
      <c r="O256" s="929"/>
      <c r="P256" s="929"/>
      <c r="Q256" s="929"/>
      <c r="R256" s="929"/>
      <c r="S256" s="1406"/>
      <c r="T256" s="929"/>
      <c r="U256" s="929"/>
      <c r="V256" s="402"/>
      <c r="W256" s="929"/>
      <c r="X256" s="929"/>
      <c r="Y256" s="929"/>
      <c r="Z256" s="929"/>
      <c r="AA256" s="929"/>
      <c r="AB256" s="1402"/>
      <c r="AC256" s="424"/>
      <c r="AD256" s="424"/>
      <c r="AE256" s="424"/>
      <c r="AF256" s="424"/>
    </row>
    <row r="257" spans="1:32" s="1727" customFormat="1" ht="11.25" customHeight="1">
      <c r="A257" s="771"/>
      <c r="B257" s="1406"/>
      <c r="C257" s="1406"/>
      <c r="D257" s="232"/>
      <c r="J257" s="1751"/>
      <c r="L257" s="929"/>
      <c r="M257" s="1406"/>
      <c r="N257" s="1406"/>
      <c r="O257" s="929"/>
      <c r="P257" s="929"/>
      <c r="Q257" s="929"/>
      <c r="R257" s="929"/>
      <c r="S257" s="1406"/>
      <c r="T257" s="929"/>
      <c r="U257" s="929"/>
      <c r="V257" s="402"/>
      <c r="W257" s="929"/>
      <c r="X257" s="929"/>
      <c r="Y257" s="929"/>
      <c r="Z257" s="929"/>
      <c r="AA257" s="929"/>
      <c r="AB257" s="1402"/>
      <c r="AC257" s="424"/>
      <c r="AD257" s="424"/>
      <c r="AE257" s="424"/>
      <c r="AF257" s="424"/>
    </row>
    <row r="258" spans="1:32" s="1727" customFormat="1" ht="11.25" customHeight="1">
      <c r="A258" s="771"/>
      <c r="B258" s="1406"/>
      <c r="C258" s="1406"/>
      <c r="D258" s="232"/>
      <c r="J258" s="1751"/>
      <c r="L258" s="929"/>
      <c r="M258" s="1406"/>
      <c r="N258" s="1406"/>
      <c r="O258" s="929"/>
      <c r="P258" s="929"/>
      <c r="Q258" s="929"/>
      <c r="R258" s="929"/>
      <c r="S258" s="1406"/>
      <c r="T258" s="929"/>
      <c r="U258" s="929"/>
      <c r="V258" s="402"/>
      <c r="W258" s="929"/>
      <c r="X258" s="929"/>
      <c r="Y258" s="929"/>
      <c r="Z258" s="929"/>
      <c r="AA258" s="929"/>
      <c r="AB258" s="1402"/>
      <c r="AC258" s="424"/>
      <c r="AD258" s="424"/>
      <c r="AE258" s="424"/>
      <c r="AF258" s="424"/>
    </row>
    <row r="259" spans="1:32" s="1727" customFormat="1" ht="11.25" customHeight="1">
      <c r="A259" s="771"/>
      <c r="B259" s="1406"/>
      <c r="C259" s="1406"/>
      <c r="D259" s="232"/>
      <c r="J259" s="1751"/>
      <c r="L259" s="929"/>
      <c r="M259" s="1406"/>
      <c r="N259" s="1406"/>
      <c r="O259" s="929"/>
      <c r="P259" s="929"/>
      <c r="Q259" s="929"/>
      <c r="R259" s="929"/>
      <c r="S259" s="1406"/>
      <c r="T259" s="929"/>
      <c r="U259" s="929"/>
      <c r="V259" s="402"/>
      <c r="W259" s="929"/>
      <c r="X259" s="929"/>
      <c r="Y259" s="929"/>
      <c r="Z259" s="929"/>
      <c r="AA259" s="929"/>
      <c r="AB259" s="1402"/>
      <c r="AC259" s="424"/>
      <c r="AD259" s="424"/>
      <c r="AE259" s="424"/>
      <c r="AF259" s="424"/>
    </row>
    <row r="260" spans="1:32" s="1727" customFormat="1" ht="11.25" customHeight="1">
      <c r="A260" s="771"/>
      <c r="B260" s="1406"/>
      <c r="C260" s="1406"/>
      <c r="D260" s="232"/>
      <c r="J260" s="1751"/>
      <c r="L260" s="929"/>
      <c r="M260" s="1406"/>
      <c r="N260" s="1406"/>
      <c r="O260" s="929"/>
      <c r="P260" s="929"/>
      <c r="Q260" s="929"/>
      <c r="R260" s="929"/>
      <c r="S260" s="1406"/>
      <c r="T260" s="929"/>
      <c r="U260" s="929"/>
      <c r="V260" s="402"/>
      <c r="W260" s="929"/>
      <c r="X260" s="929"/>
      <c r="Y260" s="929"/>
      <c r="Z260" s="929"/>
      <c r="AA260" s="929"/>
      <c r="AB260" s="1402"/>
      <c r="AC260" s="424"/>
      <c r="AD260" s="424"/>
      <c r="AE260" s="424"/>
      <c r="AF260" s="424"/>
    </row>
    <row r="261" spans="1:32" s="1727" customFormat="1" ht="11.25" customHeight="1">
      <c r="A261" s="771"/>
      <c r="B261" s="1406"/>
      <c r="C261" s="1406"/>
      <c r="D261" s="232"/>
      <c r="J261" s="1751"/>
      <c r="L261" s="929"/>
      <c r="M261" s="1406"/>
      <c r="N261" s="1406"/>
      <c r="O261" s="929"/>
      <c r="P261" s="929"/>
      <c r="Q261" s="929"/>
      <c r="R261" s="929"/>
      <c r="S261" s="1406"/>
      <c r="T261" s="929"/>
      <c r="U261" s="929"/>
      <c r="V261" s="402"/>
      <c r="W261" s="929"/>
      <c r="X261" s="929"/>
      <c r="Y261" s="929"/>
      <c r="Z261" s="929"/>
      <c r="AA261" s="929"/>
      <c r="AB261" s="1402"/>
      <c r="AC261" s="424"/>
      <c r="AD261" s="424"/>
      <c r="AE261" s="424"/>
      <c r="AF261" s="424"/>
    </row>
    <row r="262" spans="1:32" s="1727" customFormat="1" ht="11.25" customHeight="1">
      <c r="A262" s="771"/>
      <c r="B262" s="1406"/>
      <c r="C262" s="1406"/>
      <c r="D262" s="232"/>
      <c r="J262" s="1751"/>
      <c r="L262" s="929"/>
      <c r="M262" s="1406"/>
      <c r="N262" s="1406"/>
      <c r="O262" s="929"/>
      <c r="P262" s="929"/>
      <c r="Q262" s="929"/>
      <c r="R262" s="929"/>
      <c r="S262" s="1406"/>
      <c r="T262" s="929"/>
      <c r="U262" s="929"/>
      <c r="V262" s="402"/>
      <c r="W262" s="929"/>
      <c r="X262" s="929"/>
      <c r="Y262" s="929"/>
      <c r="Z262" s="929"/>
      <c r="AA262" s="929"/>
      <c r="AB262" s="1402"/>
      <c r="AC262" s="424"/>
      <c r="AD262" s="424"/>
      <c r="AE262" s="424"/>
      <c r="AF262" s="424"/>
    </row>
    <row r="263" spans="1:32" s="1727" customFormat="1" ht="11.25" customHeight="1">
      <c r="A263" s="771"/>
      <c r="B263" s="1406"/>
      <c r="C263" s="1406"/>
      <c r="D263" s="232"/>
      <c r="J263" s="1751"/>
      <c r="L263" s="929"/>
      <c r="M263" s="1406"/>
      <c r="N263" s="1406"/>
      <c r="O263" s="929"/>
      <c r="P263" s="929"/>
      <c r="Q263" s="929"/>
      <c r="R263" s="929"/>
      <c r="S263" s="1406"/>
      <c r="T263" s="929"/>
      <c r="U263" s="929"/>
      <c r="V263" s="402"/>
      <c r="W263" s="929"/>
      <c r="X263" s="929"/>
      <c r="Y263" s="929"/>
      <c r="Z263" s="929"/>
      <c r="AA263" s="929"/>
      <c r="AB263" s="1402"/>
      <c r="AC263" s="424"/>
      <c r="AD263" s="424"/>
      <c r="AE263" s="424"/>
      <c r="AF263" s="424"/>
    </row>
    <row r="264" spans="1:32" s="1727" customFormat="1" ht="11.25" customHeight="1">
      <c r="A264" s="771"/>
      <c r="B264" s="1406"/>
      <c r="C264" s="1406"/>
      <c r="D264" s="232"/>
      <c r="J264" s="1751"/>
      <c r="L264" s="929"/>
      <c r="M264" s="1406"/>
      <c r="N264" s="1406"/>
      <c r="O264" s="929"/>
      <c r="P264" s="929"/>
      <c r="Q264" s="929"/>
      <c r="R264" s="929"/>
      <c r="S264" s="1406"/>
      <c r="T264" s="929"/>
      <c r="U264" s="929"/>
      <c r="V264" s="402"/>
      <c r="W264" s="929"/>
      <c r="X264" s="929"/>
      <c r="Y264" s="929"/>
      <c r="Z264" s="929"/>
      <c r="AA264" s="929"/>
      <c r="AB264" s="1402"/>
      <c r="AC264" s="424"/>
      <c r="AD264" s="424"/>
      <c r="AE264" s="424"/>
      <c r="AF264" s="424"/>
    </row>
    <row r="265" spans="1:32" s="1727" customFormat="1" ht="11.25" customHeight="1">
      <c r="A265" s="771"/>
      <c r="B265" s="1406"/>
      <c r="C265" s="1406"/>
      <c r="D265" s="232"/>
      <c r="J265" s="1751"/>
      <c r="L265" s="929"/>
      <c r="M265" s="1406"/>
      <c r="N265" s="1406"/>
      <c r="O265" s="929"/>
      <c r="P265" s="929"/>
      <c r="Q265" s="929"/>
      <c r="R265" s="929"/>
      <c r="S265" s="1406"/>
      <c r="T265" s="929"/>
      <c r="U265" s="929"/>
      <c r="V265" s="402"/>
      <c r="W265" s="929"/>
      <c r="X265" s="929"/>
      <c r="Y265" s="929"/>
      <c r="Z265" s="929"/>
      <c r="AA265" s="929"/>
      <c r="AB265" s="1402"/>
      <c r="AC265" s="424"/>
      <c r="AD265" s="424"/>
      <c r="AE265" s="424"/>
      <c r="AF265" s="424"/>
    </row>
    <row r="266" spans="1:32" s="1727" customFormat="1" ht="11.25" customHeight="1">
      <c r="A266" s="771"/>
      <c r="B266" s="1406"/>
      <c r="C266" s="1406"/>
      <c r="D266" s="232"/>
      <c r="J266" s="1751"/>
      <c r="L266" s="929"/>
      <c r="M266" s="1406"/>
      <c r="N266" s="1406"/>
      <c r="O266" s="929"/>
      <c r="P266" s="929"/>
      <c r="Q266" s="929"/>
      <c r="R266" s="929"/>
      <c r="S266" s="1406"/>
      <c r="T266" s="929"/>
      <c r="U266" s="929"/>
      <c r="V266" s="402"/>
      <c r="W266" s="929"/>
      <c r="X266" s="929"/>
      <c r="Y266" s="929"/>
      <c r="Z266" s="929"/>
      <c r="AA266" s="929"/>
      <c r="AB266" s="1402"/>
      <c r="AC266" s="424"/>
      <c r="AD266" s="424"/>
      <c r="AE266" s="424"/>
      <c r="AF266" s="424"/>
    </row>
    <row r="267" spans="1:32" s="1727" customFormat="1" ht="11.25" customHeight="1">
      <c r="A267" s="771"/>
      <c r="B267" s="1406"/>
      <c r="C267" s="1406"/>
      <c r="D267" s="232"/>
      <c r="J267" s="1751"/>
      <c r="L267" s="929"/>
      <c r="M267" s="1406"/>
      <c r="N267" s="1406"/>
      <c r="O267" s="929"/>
      <c r="P267" s="929"/>
      <c r="Q267" s="929"/>
      <c r="R267" s="929"/>
      <c r="S267" s="1406"/>
      <c r="T267" s="929"/>
      <c r="U267" s="929"/>
      <c r="V267" s="402"/>
      <c r="W267" s="929"/>
      <c r="X267" s="929"/>
      <c r="Y267" s="929"/>
      <c r="Z267" s="929"/>
      <c r="AA267" s="929"/>
      <c r="AB267" s="1402"/>
      <c r="AC267" s="424"/>
      <c r="AD267" s="424"/>
      <c r="AE267" s="424"/>
      <c r="AF267" s="424"/>
    </row>
    <row r="268" spans="1:32" s="1727" customFormat="1" ht="11.25" customHeight="1">
      <c r="A268" s="771"/>
      <c r="B268" s="1406"/>
      <c r="C268" s="1406"/>
      <c r="D268" s="232"/>
      <c r="J268" s="1751"/>
      <c r="L268" s="929"/>
      <c r="M268" s="1406"/>
      <c r="N268" s="1406"/>
      <c r="O268" s="929"/>
      <c r="P268" s="929"/>
      <c r="Q268" s="929"/>
      <c r="R268" s="929"/>
      <c r="S268" s="1406"/>
      <c r="T268" s="929"/>
      <c r="U268" s="929"/>
      <c r="V268" s="402"/>
      <c r="W268" s="929"/>
      <c r="X268" s="929"/>
      <c r="Y268" s="929"/>
      <c r="Z268" s="929"/>
      <c r="AA268" s="929"/>
      <c r="AB268" s="1402"/>
      <c r="AC268" s="424"/>
      <c r="AD268" s="424"/>
      <c r="AE268" s="424"/>
      <c r="AF268" s="424"/>
    </row>
    <row r="269" spans="1:32" s="1727" customFormat="1" ht="11.25" customHeight="1">
      <c r="A269" s="771"/>
      <c r="B269" s="1406"/>
      <c r="C269" s="1406"/>
      <c r="D269" s="232"/>
      <c r="J269" s="1751"/>
      <c r="L269" s="929"/>
      <c r="M269" s="1406"/>
      <c r="N269" s="1406"/>
      <c r="O269" s="929"/>
      <c r="P269" s="929"/>
      <c r="Q269" s="929"/>
      <c r="R269" s="929"/>
      <c r="S269" s="1406"/>
      <c r="T269" s="929"/>
      <c r="U269" s="929"/>
      <c r="V269" s="402"/>
      <c r="W269" s="929"/>
      <c r="X269" s="929"/>
      <c r="Y269" s="929"/>
      <c r="Z269" s="929"/>
      <c r="AA269" s="929"/>
      <c r="AB269" s="1402"/>
      <c r="AC269" s="424"/>
      <c r="AD269" s="424"/>
      <c r="AE269" s="424"/>
      <c r="AF269" s="424"/>
    </row>
    <row r="270" spans="1:32" s="1727" customFormat="1" ht="11.25" customHeight="1">
      <c r="A270" s="771"/>
      <c r="B270" s="1406"/>
      <c r="C270" s="1406"/>
      <c r="D270" s="232"/>
      <c r="J270" s="1751"/>
      <c r="L270" s="929"/>
      <c r="M270" s="1406"/>
      <c r="N270" s="1406"/>
      <c r="O270" s="929"/>
      <c r="P270" s="929"/>
      <c r="Q270" s="929"/>
      <c r="R270" s="929"/>
      <c r="S270" s="1406"/>
      <c r="T270" s="929"/>
      <c r="U270" s="929"/>
      <c r="V270" s="402"/>
      <c r="W270" s="929"/>
      <c r="X270" s="929"/>
      <c r="Y270" s="929"/>
      <c r="Z270" s="929"/>
      <c r="AA270" s="929"/>
      <c r="AB270" s="1402"/>
      <c r="AC270" s="424"/>
      <c r="AD270" s="424"/>
      <c r="AE270" s="424"/>
      <c r="AF270" s="424"/>
    </row>
    <row r="271" spans="1:32" s="1727" customFormat="1" ht="11.25" customHeight="1">
      <c r="A271" s="771"/>
      <c r="B271" s="1406"/>
      <c r="C271" s="1406"/>
      <c r="D271" s="232"/>
      <c r="J271" s="1751"/>
      <c r="L271" s="929"/>
      <c r="M271" s="1406"/>
      <c r="N271" s="1406"/>
      <c r="O271" s="929"/>
      <c r="P271" s="929"/>
      <c r="Q271" s="929"/>
      <c r="R271" s="929"/>
      <c r="S271" s="1406"/>
      <c r="T271" s="929"/>
      <c r="U271" s="929"/>
      <c r="V271" s="402"/>
      <c r="W271" s="929"/>
      <c r="X271" s="929"/>
      <c r="Y271" s="929"/>
      <c r="Z271" s="929"/>
      <c r="AA271" s="929"/>
      <c r="AB271" s="1402"/>
      <c r="AC271" s="424"/>
      <c r="AD271" s="424"/>
      <c r="AE271" s="424"/>
      <c r="AF271" s="424"/>
    </row>
    <row r="272" spans="1:32" s="1727" customFormat="1" ht="11.25" customHeight="1">
      <c r="A272" s="771"/>
      <c r="B272" s="1406"/>
      <c r="C272" s="1406"/>
      <c r="D272" s="232"/>
      <c r="J272" s="1751"/>
      <c r="L272" s="929"/>
      <c r="M272" s="1406"/>
      <c r="N272" s="1406"/>
      <c r="O272" s="929"/>
      <c r="P272" s="929"/>
      <c r="Q272" s="929"/>
      <c r="R272" s="929"/>
      <c r="S272" s="1406"/>
      <c r="T272" s="929"/>
      <c r="U272" s="929"/>
      <c r="V272" s="402"/>
      <c r="W272" s="929"/>
      <c r="X272" s="929"/>
      <c r="Y272" s="929"/>
      <c r="Z272" s="929"/>
      <c r="AA272" s="929"/>
      <c r="AB272" s="1402"/>
      <c r="AC272" s="424"/>
      <c r="AD272" s="424"/>
      <c r="AE272" s="424"/>
      <c r="AF272" s="424"/>
    </row>
    <row r="273" spans="1:32" s="1727" customFormat="1" ht="11.25" customHeight="1">
      <c r="A273" s="771"/>
      <c r="B273" s="1406"/>
      <c r="C273" s="1406"/>
      <c r="D273" s="232"/>
      <c r="J273" s="1751"/>
      <c r="L273" s="929"/>
      <c r="M273" s="1406"/>
      <c r="N273" s="1406"/>
      <c r="O273" s="929"/>
      <c r="P273" s="929"/>
      <c r="Q273" s="929"/>
      <c r="R273" s="929"/>
      <c r="S273" s="1406"/>
      <c r="T273" s="929"/>
      <c r="U273" s="929"/>
      <c r="V273" s="402"/>
      <c r="W273" s="929"/>
      <c r="X273" s="929"/>
      <c r="Y273" s="929"/>
      <c r="Z273" s="929"/>
      <c r="AA273" s="929"/>
      <c r="AB273" s="1402"/>
      <c r="AC273" s="424"/>
      <c r="AD273" s="424"/>
      <c r="AE273" s="424"/>
      <c r="AF273" s="424"/>
    </row>
    <row r="274" spans="1:32" s="1727" customFormat="1" ht="11.25" customHeight="1">
      <c r="A274" s="771"/>
      <c r="B274" s="1406"/>
      <c r="C274" s="1406"/>
      <c r="D274" s="232"/>
      <c r="J274" s="1751"/>
      <c r="L274" s="929"/>
      <c r="M274" s="1406"/>
      <c r="N274" s="1406"/>
      <c r="O274" s="929"/>
      <c r="P274" s="929"/>
      <c r="Q274" s="929"/>
      <c r="R274" s="929"/>
      <c r="S274" s="1406"/>
      <c r="T274" s="929"/>
      <c r="U274" s="929"/>
      <c r="V274" s="402"/>
      <c r="W274" s="929"/>
      <c r="X274" s="929"/>
      <c r="Y274" s="929"/>
      <c r="Z274" s="929"/>
      <c r="AA274" s="929"/>
      <c r="AB274" s="1402"/>
      <c r="AC274" s="424"/>
      <c r="AD274" s="424"/>
      <c r="AE274" s="424"/>
      <c r="AF274" s="424"/>
    </row>
    <row r="275" spans="1:32" s="1727" customFormat="1" ht="11.25" customHeight="1">
      <c r="A275" s="771"/>
      <c r="B275" s="1406"/>
      <c r="C275" s="1406"/>
      <c r="D275" s="232"/>
      <c r="J275" s="1751"/>
      <c r="L275" s="929"/>
      <c r="M275" s="1406"/>
      <c r="N275" s="1406"/>
      <c r="O275" s="929"/>
      <c r="P275" s="929"/>
      <c r="Q275" s="929"/>
      <c r="R275" s="929"/>
      <c r="S275" s="1406"/>
      <c r="T275" s="929"/>
      <c r="U275" s="929"/>
      <c r="V275" s="402"/>
      <c r="W275" s="929"/>
      <c r="X275" s="929"/>
      <c r="Y275" s="929"/>
      <c r="Z275" s="929"/>
      <c r="AA275" s="929"/>
      <c r="AB275" s="1402"/>
      <c r="AC275" s="424"/>
      <c r="AD275" s="424"/>
      <c r="AE275" s="424"/>
      <c r="AF275" s="424"/>
    </row>
    <row r="276" spans="1:32" s="1727" customFormat="1" ht="11.25" customHeight="1">
      <c r="A276" s="771"/>
      <c r="B276" s="1406"/>
      <c r="C276" s="1406"/>
      <c r="D276" s="232"/>
      <c r="J276" s="1751"/>
      <c r="L276" s="929"/>
      <c r="M276" s="1406"/>
      <c r="N276" s="1406"/>
      <c r="O276" s="929"/>
      <c r="P276" s="929"/>
      <c r="Q276" s="929"/>
      <c r="R276" s="929"/>
      <c r="S276" s="1406"/>
      <c r="T276" s="929"/>
      <c r="U276" s="929"/>
      <c r="V276" s="402"/>
      <c r="W276" s="929"/>
      <c r="X276" s="929"/>
      <c r="Y276" s="929"/>
      <c r="Z276" s="929"/>
      <c r="AA276" s="929"/>
      <c r="AB276" s="1402"/>
      <c r="AC276" s="424"/>
      <c r="AD276" s="424"/>
      <c r="AE276" s="424"/>
      <c r="AF276" s="424"/>
    </row>
    <row r="277" spans="1:32" s="1727" customFormat="1" ht="11.25" customHeight="1">
      <c r="A277" s="771"/>
      <c r="B277" s="1406"/>
      <c r="C277" s="1406"/>
      <c r="D277" s="232"/>
      <c r="J277" s="1751"/>
      <c r="L277" s="929"/>
      <c r="M277" s="1406"/>
      <c r="N277" s="1406"/>
      <c r="O277" s="929"/>
      <c r="P277" s="929"/>
      <c r="Q277" s="929"/>
      <c r="R277" s="929"/>
      <c r="S277" s="1406"/>
      <c r="T277" s="929"/>
      <c r="U277" s="929"/>
      <c r="V277" s="402"/>
      <c r="W277" s="929"/>
      <c r="X277" s="929"/>
      <c r="Y277" s="929"/>
      <c r="Z277" s="929"/>
      <c r="AA277" s="929"/>
      <c r="AB277" s="1402"/>
      <c r="AC277" s="424"/>
      <c r="AD277" s="424"/>
      <c r="AE277" s="424"/>
      <c r="AF277" s="424"/>
    </row>
    <row r="278" spans="1:32" s="1727" customFormat="1" ht="11.25" customHeight="1">
      <c r="A278" s="771"/>
      <c r="B278" s="1406"/>
      <c r="C278" s="1406"/>
      <c r="D278" s="232"/>
      <c r="J278" s="1751"/>
      <c r="L278" s="929"/>
      <c r="M278" s="1406"/>
      <c r="N278" s="1406"/>
      <c r="O278" s="929"/>
      <c r="P278" s="929"/>
      <c r="Q278" s="929"/>
      <c r="R278" s="929"/>
      <c r="S278" s="1406"/>
      <c r="T278" s="929"/>
      <c r="U278" s="929"/>
      <c r="V278" s="402"/>
      <c r="W278" s="929"/>
      <c r="X278" s="929"/>
      <c r="Y278" s="929"/>
      <c r="Z278" s="929"/>
      <c r="AA278" s="929"/>
      <c r="AB278" s="1402"/>
      <c r="AC278" s="424"/>
      <c r="AD278" s="424"/>
      <c r="AE278" s="424"/>
      <c r="AF278" s="424"/>
    </row>
    <row r="279" spans="1:32" s="1727" customFormat="1" ht="11.25" customHeight="1">
      <c r="A279" s="771"/>
      <c r="B279" s="1406"/>
      <c r="C279" s="1406"/>
      <c r="D279" s="232"/>
      <c r="J279" s="1751"/>
      <c r="L279" s="929"/>
      <c r="M279" s="1406"/>
      <c r="N279" s="1406"/>
      <c r="O279" s="929"/>
      <c r="P279" s="929"/>
      <c r="Q279" s="929"/>
      <c r="R279" s="929"/>
      <c r="S279" s="1406"/>
      <c r="T279" s="929"/>
      <c r="U279" s="929"/>
      <c r="V279" s="402"/>
      <c r="W279" s="929"/>
      <c r="X279" s="929"/>
      <c r="Y279" s="929"/>
      <c r="Z279" s="929"/>
      <c r="AA279" s="929"/>
      <c r="AB279" s="1402"/>
      <c r="AC279" s="424"/>
      <c r="AD279" s="424"/>
      <c r="AE279" s="424"/>
      <c r="AF279" s="424"/>
    </row>
    <row r="280" spans="1:32" s="1727" customFormat="1" ht="11.25" customHeight="1">
      <c r="A280" s="771"/>
      <c r="B280" s="1406"/>
      <c r="C280" s="1406"/>
      <c r="D280" s="232"/>
      <c r="J280" s="1751"/>
      <c r="L280" s="929"/>
      <c r="M280" s="1406"/>
      <c r="N280" s="1406"/>
      <c r="O280" s="929"/>
      <c r="P280" s="929"/>
      <c r="Q280" s="929"/>
      <c r="R280" s="929"/>
      <c r="S280" s="1406"/>
      <c r="T280" s="929"/>
      <c r="U280" s="929"/>
      <c r="V280" s="402"/>
      <c r="W280" s="929"/>
      <c r="X280" s="929"/>
      <c r="Y280" s="929"/>
      <c r="Z280" s="929"/>
      <c r="AA280" s="929"/>
      <c r="AB280" s="1402"/>
      <c r="AC280" s="424"/>
      <c r="AD280" s="424"/>
      <c r="AE280" s="424"/>
      <c r="AF280" s="424"/>
    </row>
    <row r="281" spans="1:32" s="1727" customFormat="1" ht="11.25" customHeight="1">
      <c r="A281" s="771"/>
      <c r="B281" s="1406"/>
      <c r="C281" s="1406"/>
      <c r="D281" s="232"/>
      <c r="J281" s="1751"/>
      <c r="L281" s="929"/>
      <c r="M281" s="1406"/>
      <c r="N281" s="1406"/>
      <c r="O281" s="929"/>
      <c r="P281" s="929"/>
      <c r="Q281" s="929"/>
      <c r="R281" s="929"/>
      <c r="S281" s="1406"/>
      <c r="T281" s="929"/>
      <c r="U281" s="929"/>
      <c r="V281" s="402"/>
      <c r="W281" s="929"/>
      <c r="X281" s="929"/>
      <c r="Y281" s="929"/>
      <c r="Z281" s="929"/>
      <c r="AA281" s="929"/>
      <c r="AB281" s="1402"/>
      <c r="AC281" s="424"/>
      <c r="AD281" s="424"/>
      <c r="AE281" s="424"/>
      <c r="AF281" s="424"/>
    </row>
    <row r="282" spans="1:32" s="1727" customFormat="1" ht="11.25" customHeight="1">
      <c r="A282" s="771"/>
      <c r="B282" s="1406"/>
      <c r="C282" s="1406"/>
      <c r="D282" s="232"/>
      <c r="J282" s="1751"/>
      <c r="L282" s="929"/>
      <c r="M282" s="1406"/>
      <c r="N282" s="1406"/>
      <c r="O282" s="929"/>
      <c r="P282" s="929"/>
      <c r="Q282" s="929"/>
      <c r="R282" s="929"/>
      <c r="S282" s="1406"/>
      <c r="T282" s="929"/>
      <c r="U282" s="929"/>
      <c r="V282" s="402"/>
      <c r="W282" s="929"/>
      <c r="X282" s="929"/>
      <c r="Y282" s="929"/>
      <c r="Z282" s="929"/>
      <c r="AA282" s="929"/>
      <c r="AB282" s="1402"/>
      <c r="AC282" s="424"/>
      <c r="AD282" s="424"/>
      <c r="AE282" s="424"/>
      <c r="AF282" s="424"/>
    </row>
    <row r="283" spans="1:32" s="1727" customFormat="1" ht="11.25" customHeight="1">
      <c r="A283" s="771"/>
      <c r="B283" s="1406"/>
      <c r="C283" s="1406"/>
      <c r="D283" s="232"/>
      <c r="J283" s="1751"/>
      <c r="L283" s="929"/>
      <c r="M283" s="1406"/>
      <c r="N283" s="1406"/>
      <c r="O283" s="929"/>
      <c r="P283" s="929"/>
      <c r="Q283" s="929"/>
      <c r="R283" s="929"/>
      <c r="S283" s="1406"/>
      <c r="T283" s="929"/>
      <c r="U283" s="929"/>
      <c r="V283" s="402"/>
      <c r="W283" s="929"/>
      <c r="X283" s="929"/>
      <c r="Y283" s="929"/>
      <c r="Z283" s="929"/>
      <c r="AA283" s="929"/>
      <c r="AB283" s="1402"/>
      <c r="AC283" s="424"/>
      <c r="AD283" s="424"/>
      <c r="AE283" s="424"/>
      <c r="AF283" s="424"/>
    </row>
    <row r="284" spans="1:32" s="1727" customFormat="1" ht="11.25" customHeight="1">
      <c r="A284" s="771"/>
      <c r="B284" s="1406"/>
      <c r="C284" s="1406"/>
      <c r="D284" s="232"/>
      <c r="J284" s="1751"/>
      <c r="L284" s="929"/>
      <c r="M284" s="1406"/>
      <c r="N284" s="1406"/>
      <c r="O284" s="929"/>
      <c r="P284" s="929"/>
      <c r="Q284" s="929"/>
      <c r="R284" s="929"/>
      <c r="S284" s="1406"/>
      <c r="T284" s="929"/>
      <c r="U284" s="929"/>
      <c r="V284" s="402"/>
      <c r="W284" s="929"/>
      <c r="X284" s="929"/>
      <c r="Y284" s="929"/>
      <c r="Z284" s="929"/>
      <c r="AA284" s="929"/>
      <c r="AB284" s="1402"/>
      <c r="AC284" s="424"/>
      <c r="AD284" s="424"/>
      <c r="AE284" s="424"/>
      <c r="AF284" s="424"/>
    </row>
    <row r="285" spans="1:32" s="1727" customFormat="1" ht="11.25" customHeight="1">
      <c r="A285" s="771"/>
      <c r="B285" s="1406"/>
      <c r="C285" s="1406"/>
      <c r="D285" s="232"/>
      <c r="J285" s="1751"/>
      <c r="L285" s="929"/>
      <c r="M285" s="1406"/>
      <c r="N285" s="1406"/>
      <c r="O285" s="929"/>
      <c r="P285" s="929"/>
      <c r="Q285" s="929"/>
      <c r="R285" s="929"/>
      <c r="S285" s="1406"/>
      <c r="T285" s="929"/>
      <c r="U285" s="929"/>
      <c r="V285" s="402"/>
      <c r="W285" s="929"/>
      <c r="X285" s="929"/>
      <c r="Y285" s="929"/>
      <c r="Z285" s="929"/>
      <c r="AA285" s="929"/>
      <c r="AB285" s="1402"/>
      <c r="AC285" s="424"/>
      <c r="AD285" s="424"/>
      <c r="AE285" s="424"/>
      <c r="AF285" s="424"/>
    </row>
    <row r="286" spans="1:32" s="1727" customFormat="1" ht="11.25" customHeight="1">
      <c r="A286" s="771"/>
      <c r="B286" s="1406"/>
      <c r="C286" s="1406"/>
      <c r="D286" s="232"/>
      <c r="J286" s="1751"/>
      <c r="L286" s="929"/>
      <c r="M286" s="1406"/>
      <c r="N286" s="1406"/>
      <c r="O286" s="929"/>
      <c r="P286" s="929"/>
      <c r="Q286" s="929"/>
      <c r="R286" s="929"/>
      <c r="S286" s="1406"/>
      <c r="T286" s="929"/>
      <c r="U286" s="929"/>
      <c r="V286" s="402"/>
      <c r="W286" s="929"/>
      <c r="X286" s="929"/>
      <c r="Y286" s="929"/>
      <c r="Z286" s="929"/>
      <c r="AA286" s="929"/>
      <c r="AB286" s="1402"/>
      <c r="AC286" s="424"/>
      <c r="AD286" s="424"/>
      <c r="AE286" s="424"/>
      <c r="AF286" s="424"/>
    </row>
    <row r="287" spans="1:32" s="1727" customFormat="1" ht="11.25" customHeight="1">
      <c r="A287" s="771"/>
      <c r="B287" s="1406"/>
      <c r="C287" s="1406"/>
      <c r="D287" s="232"/>
      <c r="J287" s="1751"/>
      <c r="L287" s="929"/>
      <c r="M287" s="1406"/>
      <c r="N287" s="1406"/>
      <c r="O287" s="929"/>
      <c r="P287" s="929"/>
      <c r="Q287" s="929"/>
      <c r="R287" s="929"/>
      <c r="S287" s="1406"/>
      <c r="T287" s="929"/>
      <c r="U287" s="929"/>
      <c r="V287" s="402"/>
      <c r="W287" s="929"/>
      <c r="X287" s="929"/>
      <c r="Y287" s="929"/>
      <c r="Z287" s="929"/>
      <c r="AA287" s="929"/>
      <c r="AB287" s="1402"/>
      <c r="AC287" s="424"/>
      <c r="AD287" s="424"/>
      <c r="AE287" s="424"/>
      <c r="AF287" s="424"/>
    </row>
    <row r="288" spans="1:32" s="1727" customFormat="1" ht="11.25" customHeight="1">
      <c r="A288" s="771"/>
      <c r="B288" s="1406"/>
      <c r="C288" s="1406"/>
      <c r="D288" s="232"/>
      <c r="J288" s="1751"/>
      <c r="L288" s="929"/>
      <c r="M288" s="1406"/>
      <c r="N288" s="1406"/>
      <c r="O288" s="929"/>
      <c r="P288" s="929"/>
      <c r="Q288" s="929"/>
      <c r="R288" s="929"/>
      <c r="S288" s="1406"/>
      <c r="T288" s="929"/>
      <c r="U288" s="929"/>
      <c r="V288" s="402"/>
      <c r="W288" s="929"/>
      <c r="X288" s="929"/>
      <c r="Y288" s="929"/>
      <c r="Z288" s="929"/>
      <c r="AA288" s="929"/>
      <c r="AB288" s="1402"/>
      <c r="AC288" s="424"/>
      <c r="AD288" s="424"/>
      <c r="AE288" s="424"/>
      <c r="AF288" s="424"/>
    </row>
    <row r="292" spans="1:32" ht="11.25" customHeight="1">
      <c r="A292" s="774"/>
      <c r="B292" s="1401"/>
      <c r="D292" s="1401"/>
      <c r="L292" s="1401"/>
      <c r="O292" s="1401"/>
      <c r="P292" s="1401"/>
      <c r="Q292" s="1401"/>
      <c r="R292" s="1401"/>
      <c r="T292" s="1401"/>
      <c r="U292" s="1401"/>
      <c r="V292" s="1401"/>
      <c r="W292" s="1401"/>
      <c r="X292" s="1401"/>
      <c r="Y292" s="1401"/>
      <c r="Z292" s="1401"/>
      <c r="AA292" s="1401"/>
      <c r="AB292" s="1401"/>
      <c r="AC292" s="1401"/>
      <c r="AD292" s="1401"/>
      <c r="AE292" s="1401"/>
      <c r="AF292" s="1401"/>
    </row>
    <row r="293" spans="1:32" ht="11.25" customHeight="1">
      <c r="A293" s="774"/>
      <c r="B293" s="1401"/>
      <c r="D293" s="1401"/>
      <c r="L293" s="1401"/>
      <c r="O293" s="1401"/>
      <c r="P293" s="1401"/>
      <c r="Q293" s="1401"/>
      <c r="R293" s="1401"/>
      <c r="T293" s="1401"/>
      <c r="U293" s="1401"/>
      <c r="V293" s="1401"/>
      <c r="W293" s="1401"/>
      <c r="X293" s="1401"/>
      <c r="Y293" s="1401"/>
      <c r="Z293" s="1401"/>
      <c r="AA293" s="1401"/>
      <c r="AB293" s="1401"/>
      <c r="AC293" s="1401"/>
      <c r="AD293" s="1401"/>
      <c r="AE293" s="1401"/>
      <c r="AF293" s="1401"/>
    </row>
    <row r="294" spans="1:32" ht="11.25" customHeight="1">
      <c r="A294" s="774"/>
      <c r="B294" s="1401"/>
      <c r="D294" s="1401"/>
      <c r="L294" s="1401"/>
      <c r="O294" s="1401"/>
      <c r="P294" s="1401"/>
      <c r="Q294" s="1401"/>
      <c r="R294" s="1401"/>
      <c r="T294" s="1401"/>
      <c r="U294" s="1401"/>
      <c r="V294" s="1401"/>
      <c r="W294" s="1401"/>
      <c r="X294" s="1401"/>
      <c r="Y294" s="1401"/>
      <c r="Z294" s="1401"/>
      <c r="AA294" s="1401"/>
      <c r="AB294" s="1401"/>
      <c r="AC294" s="1401"/>
      <c r="AD294" s="1401"/>
      <c r="AE294" s="1401"/>
      <c r="AF294" s="1401"/>
    </row>
    <row r="295" spans="1:32" ht="11.25" customHeight="1">
      <c r="A295" s="774"/>
      <c r="B295" s="1401"/>
      <c r="D295" s="1401"/>
      <c r="L295" s="1401"/>
      <c r="O295" s="1401"/>
      <c r="P295" s="1401"/>
      <c r="Q295" s="1401"/>
      <c r="R295" s="1401"/>
      <c r="T295" s="1401"/>
      <c r="U295" s="1401"/>
      <c r="V295" s="1401"/>
      <c r="W295" s="1401"/>
      <c r="X295" s="1401"/>
      <c r="Y295" s="1401"/>
      <c r="Z295" s="1401"/>
      <c r="AA295" s="1401"/>
      <c r="AB295" s="1401"/>
      <c r="AC295" s="1401"/>
      <c r="AD295" s="1401"/>
      <c r="AE295" s="1401"/>
      <c r="AF295" s="1401"/>
    </row>
    <row r="296" spans="1:32" ht="11.25" customHeight="1">
      <c r="A296" s="774"/>
      <c r="B296" s="1401"/>
      <c r="D296" s="1401"/>
      <c r="L296" s="1401"/>
      <c r="O296" s="1401"/>
      <c r="P296" s="1401"/>
      <c r="Q296" s="1401"/>
      <c r="R296" s="1401"/>
      <c r="T296" s="1401"/>
      <c r="U296" s="1401"/>
      <c r="V296" s="1401"/>
      <c r="W296" s="1401"/>
      <c r="X296" s="1401"/>
      <c r="Y296" s="1401"/>
      <c r="Z296" s="1401"/>
      <c r="AA296" s="1401"/>
      <c r="AB296" s="1401"/>
      <c r="AC296" s="1401"/>
      <c r="AD296" s="1401"/>
      <c r="AE296" s="1401"/>
      <c r="AF296" s="1401"/>
    </row>
    <row r="297" spans="1:32" ht="11.25" customHeight="1">
      <c r="A297" s="774"/>
      <c r="B297" s="1401"/>
      <c r="D297" s="1401"/>
      <c r="L297" s="1401"/>
      <c r="O297" s="1401"/>
      <c r="P297" s="1401"/>
      <c r="Q297" s="1401"/>
      <c r="R297" s="1401"/>
      <c r="T297" s="1401"/>
      <c r="U297" s="1401"/>
      <c r="V297" s="1401"/>
      <c r="W297" s="1401"/>
      <c r="X297" s="1401"/>
      <c r="Y297" s="1401"/>
      <c r="Z297" s="1401"/>
      <c r="AA297" s="1401"/>
      <c r="AB297" s="1401"/>
      <c r="AC297" s="1401"/>
      <c r="AD297" s="1401"/>
      <c r="AE297" s="1401"/>
      <c r="AF297" s="1401"/>
    </row>
    <row r="298" spans="1:32" ht="11.25" customHeight="1">
      <c r="A298" s="774"/>
      <c r="B298" s="1401"/>
      <c r="D298" s="1401"/>
      <c r="L298" s="1401"/>
      <c r="O298" s="1401"/>
      <c r="P298" s="1401"/>
      <c r="Q298" s="1401"/>
      <c r="R298" s="1401"/>
      <c r="T298" s="1401"/>
      <c r="U298" s="1401"/>
      <c r="V298" s="1401"/>
      <c r="W298" s="1401"/>
      <c r="X298" s="1401"/>
      <c r="Y298" s="1401"/>
      <c r="Z298" s="1401"/>
      <c r="AA298" s="1401"/>
      <c r="AB298" s="1401"/>
      <c r="AC298" s="1401"/>
      <c r="AD298" s="1401"/>
      <c r="AE298" s="1401"/>
      <c r="AF298" s="1401"/>
    </row>
    <row r="299" spans="1:32" ht="11.25" customHeight="1">
      <c r="A299" s="774"/>
      <c r="B299" s="1401"/>
      <c r="D299" s="1401"/>
      <c r="L299" s="1401"/>
      <c r="O299" s="1401"/>
      <c r="P299" s="1401"/>
      <c r="Q299" s="1401"/>
      <c r="R299" s="1401"/>
      <c r="T299" s="1401"/>
      <c r="U299" s="1401"/>
      <c r="V299" s="1401"/>
      <c r="W299" s="1401"/>
      <c r="X299" s="1401"/>
      <c r="Y299" s="1401"/>
      <c r="Z299" s="1401"/>
      <c r="AA299" s="1401"/>
      <c r="AB299" s="1401"/>
      <c r="AC299" s="1401"/>
      <c r="AD299" s="1401"/>
      <c r="AE299" s="1401"/>
      <c r="AF299" s="1401"/>
    </row>
    <row r="300" spans="1:32" ht="11.25" customHeight="1">
      <c r="A300" s="774"/>
      <c r="B300" s="1401"/>
      <c r="D300" s="1401"/>
      <c r="L300" s="1401"/>
      <c r="O300" s="1401"/>
      <c r="P300" s="1401"/>
      <c r="Q300" s="1401"/>
      <c r="R300" s="1401"/>
      <c r="T300" s="1401"/>
      <c r="U300" s="1401"/>
      <c r="V300" s="1401"/>
      <c r="W300" s="1401"/>
      <c r="X300" s="1401"/>
      <c r="Y300" s="1401"/>
      <c r="Z300" s="1401"/>
      <c r="AA300" s="1401"/>
      <c r="AB300" s="1401"/>
      <c r="AC300" s="1401"/>
      <c r="AD300" s="1401"/>
      <c r="AE300" s="1401"/>
      <c r="AF300" s="1401"/>
    </row>
    <row r="301" spans="1:32" ht="11.25" customHeight="1">
      <c r="A301" s="774"/>
      <c r="B301" s="1401"/>
      <c r="D301" s="1401"/>
      <c r="L301" s="1401"/>
      <c r="O301" s="1401"/>
      <c r="P301" s="1401"/>
      <c r="Q301" s="1401"/>
      <c r="R301" s="1401"/>
      <c r="T301" s="1401"/>
      <c r="U301" s="1401"/>
      <c r="V301" s="1401"/>
      <c r="W301" s="1401"/>
      <c r="X301" s="1401"/>
      <c r="Y301" s="1401"/>
      <c r="Z301" s="1401"/>
      <c r="AA301" s="1401"/>
      <c r="AB301" s="1401"/>
      <c r="AC301" s="1401"/>
      <c r="AD301" s="1401"/>
      <c r="AE301" s="1401"/>
      <c r="AF301" s="1401"/>
    </row>
    <row r="302" spans="1:32" ht="11.25" customHeight="1">
      <c r="A302" s="774"/>
      <c r="B302" s="1401"/>
      <c r="D302" s="1401"/>
      <c r="L302" s="1401"/>
      <c r="O302" s="1401"/>
      <c r="P302" s="1401"/>
      <c r="Q302" s="1401"/>
      <c r="R302" s="1401"/>
      <c r="T302" s="1401"/>
      <c r="U302" s="1401"/>
      <c r="V302" s="1401"/>
      <c r="W302" s="1401"/>
      <c r="X302" s="1401"/>
      <c r="Y302" s="1401"/>
      <c r="Z302" s="1401"/>
      <c r="AA302" s="1401"/>
      <c r="AB302" s="1401"/>
      <c r="AC302" s="1401"/>
      <c r="AD302" s="1401"/>
      <c r="AE302" s="1401"/>
      <c r="AF302" s="1401"/>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9" tint="-0.249977111117893"/>
  </sheetPr>
  <dimension ref="A1:CE37"/>
  <sheetViews>
    <sheetView showGridLines="0" topLeftCell="C4" zoomScale="90" workbookViewId="0">
      <selection activeCell="A23" sqref="A23:XFD31"/>
    </sheetView>
  </sheetViews>
  <sheetFormatPr defaultColWidth="9.140625" defaultRowHeight="11.25" customHeight="1"/>
  <cols>
    <col min="1" max="1" width="14.7109375" style="1754" hidden="1" customWidth="1"/>
    <col min="2" max="2" width="17" style="1676" hidden="1" customWidth="1"/>
    <col min="3" max="3" width="3.7109375" style="1678" customWidth="1"/>
    <col min="4" max="4" width="1.85546875" style="1678" hidden="1" customWidth="1"/>
    <col min="5" max="6" width="7.7109375" style="1678" customWidth="1"/>
    <col min="7" max="7" width="29.7109375" style="1678" customWidth="1"/>
    <col min="8" max="8" width="3.7109375" style="1678" customWidth="1"/>
    <col min="9" max="9" width="5.42578125" style="1678" customWidth="1"/>
    <col min="10" max="10" width="24.5703125" style="1678" customWidth="1"/>
    <col min="11" max="11" width="24.42578125" style="1678" customWidth="1"/>
    <col min="12" max="12" width="3.7109375" style="1678" customWidth="1"/>
    <col min="13" max="13" width="6.28515625" style="1678" customWidth="1"/>
    <col min="14" max="14" width="25.85546875" style="1678" customWidth="1"/>
    <col min="15" max="18" width="18.7109375" style="1678" customWidth="1"/>
    <col min="19" max="19" width="93.42578125" style="1678" customWidth="1"/>
    <col min="20" max="20" width="10.5703125" style="1678" customWidth="1"/>
    <col min="21" max="21" width="10.5703125" style="1755" customWidth="1"/>
    <col min="22" max="22" width="11.7109375" style="1755" customWidth="1"/>
    <col min="23" max="23" width="10.5703125" style="1756" customWidth="1"/>
    <col min="24" max="27" width="10.5703125" style="1676" customWidth="1"/>
    <col min="28" max="83" width="9.140625" style="1678"/>
  </cols>
  <sheetData>
    <row r="1" spans="1:83" ht="11.25" hidden="1" customHeight="1"/>
    <row r="2" spans="1:83" ht="11.25" hidden="1" customHeight="1"/>
    <row r="3" spans="1:83" ht="11.25" hidden="1" customHeight="1"/>
    <row r="4" spans="1:83" ht="3" customHeight="1">
      <c r="C4" s="377"/>
      <c r="D4" s="377"/>
      <c r="E4" s="377"/>
      <c r="F4" s="377"/>
      <c r="G4" s="377"/>
      <c r="H4" s="377"/>
      <c r="I4" s="377"/>
      <c r="J4" s="377"/>
      <c r="K4" s="67"/>
      <c r="L4" s="67"/>
      <c r="M4" s="67"/>
    </row>
    <row r="5" spans="1:83" ht="28.5" customHeight="1">
      <c r="C5" s="377"/>
      <c r="D5" s="837"/>
      <c r="E5" s="2088" t="str">
        <f>FHD20_NAME_FORM</f>
        <v>Форма 11. Информация о расходах на капитальный и текущий ремонт основных средств</v>
      </c>
      <c r="F5" s="2088"/>
      <c r="G5" s="2088"/>
      <c r="H5" s="2088"/>
      <c r="I5" s="2088"/>
      <c r="J5" s="2088"/>
      <c r="K5" s="2088"/>
      <c r="L5" s="454"/>
      <c r="M5" s="454"/>
    </row>
    <row r="6" spans="1:83" s="1625" customFormat="1" ht="16.5" customHeight="1">
      <c r="A6" s="451"/>
      <c r="B6" s="583"/>
      <c r="C6" s="377"/>
      <c r="D6" s="838"/>
      <c r="E6" s="2059" t="e">
        <f>IF(org=0,"Не определено",org)</f>
        <v>#REF!</v>
      </c>
      <c r="F6" s="2059"/>
      <c r="G6" s="2059"/>
      <c r="H6" s="2059"/>
      <c r="I6" s="2059"/>
      <c r="J6" s="2059"/>
      <c r="K6" s="2059"/>
      <c r="L6" s="454"/>
      <c r="M6" s="454"/>
      <c r="U6" s="452"/>
      <c r="V6" s="452"/>
      <c r="W6" s="453"/>
      <c r="X6" s="583"/>
      <c r="Y6" s="583"/>
      <c r="Z6" s="583"/>
      <c r="AA6" s="583"/>
    </row>
    <row r="7" spans="1:83" ht="11.25" customHeight="1">
      <c r="C7" s="377"/>
      <c r="D7" s="377"/>
      <c r="E7" s="377"/>
      <c r="F7" s="377"/>
      <c r="G7" s="390"/>
      <c r="H7" s="390"/>
      <c r="I7" s="390"/>
      <c r="J7" s="390"/>
      <c r="K7" s="455"/>
      <c r="L7" s="455"/>
      <c r="M7" s="455"/>
      <c r="R7" s="577"/>
    </row>
    <row r="8" spans="1:83" s="1621" customFormat="1" ht="5.25" customHeight="1">
      <c r="A8" s="462"/>
      <c r="B8" s="424"/>
      <c r="C8" s="232"/>
      <c r="D8" s="232"/>
      <c r="E8" s="232"/>
      <c r="F8" s="232"/>
      <c r="G8" s="760"/>
      <c r="H8" s="760"/>
      <c r="I8" s="760"/>
      <c r="J8" s="760"/>
      <c r="K8" s="801"/>
      <c r="L8" s="801"/>
      <c r="M8" s="801"/>
      <c r="R8" s="802"/>
      <c r="U8" s="452"/>
      <c r="V8" s="452"/>
      <c r="W8" s="463"/>
      <c r="X8" s="424"/>
      <c r="Y8" s="424"/>
      <c r="Z8" s="424"/>
      <c r="AA8" s="424"/>
    </row>
    <row r="9" spans="1:83" ht="18.75" customHeight="1">
      <c r="D9" s="165"/>
      <c r="E9" s="1956" t="s">
        <v>224</v>
      </c>
      <c r="F9" s="1957"/>
      <c r="G9" s="1957"/>
      <c r="H9" s="1957"/>
      <c r="I9" s="1957"/>
      <c r="J9" s="1957"/>
      <c r="K9" s="1957"/>
      <c r="L9" s="1957"/>
      <c r="M9" s="1957"/>
      <c r="N9" s="1957"/>
      <c r="O9" s="1957"/>
      <c r="P9" s="1957"/>
      <c r="Q9" s="1957"/>
      <c r="R9" s="1958"/>
      <c r="S9" s="2025" t="s">
        <v>225</v>
      </c>
      <c r="T9" s="217"/>
    </row>
    <row r="10" spans="1:83" ht="33.75" customHeight="1">
      <c r="D10" s="409" t="s">
        <v>22</v>
      </c>
      <c r="E10" s="2025" t="s">
        <v>22</v>
      </c>
      <c r="F10" s="2025"/>
      <c r="G10" s="389" t="s">
        <v>226</v>
      </c>
      <c r="H10" s="2025" t="s">
        <v>22</v>
      </c>
      <c r="I10" s="2025"/>
      <c r="J10" s="389" t="s">
        <v>520</v>
      </c>
      <c r="K10" s="389" t="s">
        <v>521</v>
      </c>
      <c r="L10" s="2025" t="s">
        <v>22</v>
      </c>
      <c r="M10" s="2025"/>
      <c r="N10" s="389" t="s">
        <v>522</v>
      </c>
      <c r="O10" s="389" t="s">
        <v>523</v>
      </c>
      <c r="P10" s="389" t="s">
        <v>524</v>
      </c>
      <c r="Q10" s="389" t="s">
        <v>525</v>
      </c>
      <c r="R10" s="389" t="s">
        <v>526</v>
      </c>
      <c r="S10" s="2025"/>
      <c r="T10" s="217"/>
    </row>
    <row r="11" spans="1:83" s="1622" customFormat="1" ht="15" hidden="1" customHeight="1">
      <c r="A11" s="834"/>
      <c r="D11" s="808" t="s">
        <v>43</v>
      </c>
      <c r="E11" s="808"/>
      <c r="F11" s="808" t="s">
        <v>44</v>
      </c>
      <c r="G11" s="808" t="s">
        <v>24</v>
      </c>
      <c r="H11" s="808"/>
      <c r="I11" s="808" t="s">
        <v>25</v>
      </c>
      <c r="J11" s="808" t="s">
        <v>45</v>
      </c>
      <c r="K11" s="808" t="s">
        <v>26</v>
      </c>
      <c r="L11" s="808"/>
      <c r="M11" s="808" t="s">
        <v>27</v>
      </c>
      <c r="N11" s="808" t="s">
        <v>46</v>
      </c>
      <c r="O11" s="808" t="s">
        <v>86</v>
      </c>
      <c r="P11" s="808" t="s">
        <v>87</v>
      </c>
      <c r="Q11" s="808" t="s">
        <v>88</v>
      </c>
      <c r="R11" s="808" t="s">
        <v>89</v>
      </c>
      <c r="S11" s="808" t="s">
        <v>90</v>
      </c>
      <c r="U11" s="452"/>
      <c r="V11" s="452"/>
      <c r="W11" s="452"/>
    </row>
    <row r="12" spans="1:83" s="1627" customFormat="1" ht="0.75" customHeight="1">
      <c r="A12" s="456"/>
      <c r="B12" s="245"/>
      <c r="D12" s="406"/>
      <c r="E12" s="228"/>
      <c r="F12" s="228"/>
      <c r="Q12" s="457"/>
      <c r="R12" s="458"/>
      <c r="T12" s="459"/>
      <c r="U12" s="460"/>
      <c r="V12" s="460"/>
      <c r="W12" s="461"/>
      <c r="X12" s="245"/>
      <c r="Y12" s="245"/>
      <c r="Z12" s="245"/>
      <c r="AA12" s="245"/>
    </row>
    <row r="13" spans="1:83" s="1621" customFormat="1" ht="0.75" customHeight="1">
      <c r="A13" s="462"/>
      <c r="B13" s="424"/>
      <c r="D13" s="406" t="s">
        <v>302</v>
      </c>
      <c r="E13" s="418"/>
      <c r="F13" s="418"/>
      <c r="G13" s="418"/>
      <c r="H13" s="418"/>
      <c r="I13" s="418"/>
      <c r="J13" s="418"/>
      <c r="K13" s="418"/>
      <c r="L13" s="418"/>
      <c r="M13" s="418"/>
      <c r="N13" s="418"/>
      <c r="O13" s="418"/>
      <c r="P13" s="418"/>
      <c r="Q13" s="418"/>
      <c r="R13" s="418"/>
      <c r="T13" s="217"/>
      <c r="U13" s="452"/>
      <c r="V13" s="452"/>
      <c r="W13" s="463"/>
      <c r="X13" s="424"/>
      <c r="Y13" s="424"/>
      <c r="Z13" s="424"/>
      <c r="AA13" s="424"/>
    </row>
    <row r="14" spans="1:83" s="1640" customFormat="1" ht="15" hidden="1" customHeight="1">
      <c r="A14" s="464" t="s">
        <v>51</v>
      </c>
      <c r="B14" s="465"/>
      <c r="C14" s="465"/>
      <c r="D14" s="2197" t="s">
        <v>43</v>
      </c>
      <c r="E14" s="2193" t="s">
        <v>39</v>
      </c>
      <c r="F14" s="2194"/>
      <c r="G14" s="2195"/>
      <c r="H14" s="2196" t="e">
        <f>IF(A14="","",INDEX(DIFFERENTIATION_UNMERGE_VD,MATCH(A14,DIFFERENTIATION_ID_DIFF,0)))</f>
        <v>#REF!</v>
      </c>
      <c r="I14" s="2196"/>
      <c r="J14" s="2196"/>
      <c r="K14" s="2196"/>
      <c r="L14" s="2196"/>
      <c r="M14" s="2196"/>
      <c r="N14" s="2196"/>
      <c r="O14" s="2196"/>
      <c r="P14" s="2196"/>
      <c r="Q14" s="2196"/>
      <c r="R14" s="2196"/>
      <c r="S14" s="546"/>
      <c r="T14" s="543"/>
      <c r="U14" s="466"/>
      <c r="V14" s="466"/>
      <c r="W14" s="467"/>
      <c r="X14" s="467"/>
      <c r="Y14" s="467"/>
      <c r="Z14" s="467"/>
      <c r="AA14" s="468"/>
      <c r="AB14" s="469"/>
      <c r="AC14" s="2205"/>
      <c r="AD14" s="470"/>
      <c r="AE14" s="471" t="s">
        <v>1</v>
      </c>
      <c r="AF14" s="471"/>
      <c r="AG14" s="472" t="s">
        <v>527</v>
      </c>
      <c r="AH14" s="473">
        <v>3</v>
      </c>
      <c r="AI14" s="466"/>
      <c r="AJ14" s="466"/>
      <c r="AK14" s="466"/>
      <c r="AL14" s="466"/>
      <c r="AM14" s="466"/>
      <c r="AN14" s="466"/>
      <c r="AO14" s="466"/>
      <c r="AP14" s="466"/>
      <c r="AQ14" s="466"/>
      <c r="AR14" s="466"/>
      <c r="AS14" s="466"/>
      <c r="AT14" s="466"/>
      <c r="AU14" s="466"/>
      <c r="AV14" s="466"/>
      <c r="AW14" s="466"/>
      <c r="AX14" s="466"/>
      <c r="AY14" s="466"/>
      <c r="AZ14" s="466"/>
      <c r="BA14" s="466"/>
      <c r="BB14" s="466"/>
      <c r="BC14" s="466"/>
      <c r="BD14" s="466"/>
      <c r="BE14" s="466"/>
      <c r="BF14" s="466"/>
      <c r="BG14" s="466"/>
      <c r="BH14" s="466"/>
      <c r="BI14" s="466"/>
      <c r="BJ14" s="466"/>
      <c r="BK14" s="466"/>
      <c r="BL14" s="466"/>
      <c r="BM14" s="466"/>
      <c r="BN14" s="466"/>
      <c r="BO14" s="466"/>
      <c r="BP14" s="466"/>
      <c r="BQ14" s="466"/>
      <c r="BR14" s="466"/>
      <c r="BS14" s="466"/>
      <c r="BT14" s="466"/>
      <c r="BU14" s="466"/>
      <c r="BV14" s="467"/>
      <c r="BW14" s="467"/>
      <c r="BX14" s="467"/>
      <c r="BY14" s="467"/>
      <c r="BZ14" s="467"/>
      <c r="CA14" s="467"/>
      <c r="CB14" s="467"/>
      <c r="CC14" s="467"/>
      <c r="CD14" s="467"/>
      <c r="CE14" s="467"/>
    </row>
    <row r="15" spans="1:83" s="1640" customFormat="1" ht="15" hidden="1" customHeight="1">
      <c r="A15" s="464"/>
      <c r="B15" s="465"/>
      <c r="C15" s="465"/>
      <c r="D15" s="2198"/>
      <c r="E15" s="2193" t="s">
        <v>482</v>
      </c>
      <c r="F15" s="2194"/>
      <c r="G15" s="2195"/>
      <c r="H15" s="2196" t="e">
        <f>IF(A14="","",INDEX(DIFFERENTIATION_UNMERGE_AREA,MATCH(A14,DIFFERENTIATION_ID_DIFF,0)))</f>
        <v>#REF!</v>
      </c>
      <c r="I15" s="2196"/>
      <c r="J15" s="2196"/>
      <c r="K15" s="2196"/>
      <c r="L15" s="2196"/>
      <c r="M15" s="2196"/>
      <c r="N15" s="2196"/>
      <c r="O15" s="2196"/>
      <c r="P15" s="2196"/>
      <c r="Q15" s="2196"/>
      <c r="R15" s="2196"/>
      <c r="S15" s="546"/>
      <c r="T15" s="543"/>
      <c r="U15" s="466"/>
      <c r="V15" s="466"/>
      <c r="W15" s="467"/>
      <c r="X15" s="467"/>
      <c r="Y15" s="467"/>
      <c r="Z15" s="467"/>
      <c r="AA15" s="468"/>
      <c r="AB15" s="469"/>
      <c r="AC15" s="2205"/>
      <c r="AD15" s="470"/>
      <c r="AE15" s="471"/>
      <c r="AF15" s="471"/>
      <c r="AG15" s="472"/>
      <c r="AH15" s="473"/>
      <c r="AI15" s="466"/>
      <c r="AJ15" s="466"/>
      <c r="AK15" s="466"/>
      <c r="AL15" s="466"/>
      <c r="AM15" s="466"/>
      <c r="AN15" s="466"/>
      <c r="AO15" s="466"/>
      <c r="AP15" s="466"/>
      <c r="AQ15" s="466"/>
      <c r="AR15" s="466"/>
      <c r="AS15" s="466"/>
      <c r="AT15" s="466"/>
      <c r="AU15" s="466"/>
      <c r="AV15" s="466"/>
      <c r="AW15" s="466"/>
      <c r="AX15" s="466"/>
      <c r="AY15" s="466"/>
      <c r="AZ15" s="466"/>
      <c r="BA15" s="466"/>
      <c r="BB15" s="466"/>
      <c r="BC15" s="466"/>
      <c r="BD15" s="466"/>
      <c r="BE15" s="466"/>
      <c r="BF15" s="466"/>
      <c r="BG15" s="466"/>
      <c r="BH15" s="466"/>
      <c r="BI15" s="466"/>
      <c r="BJ15" s="466"/>
      <c r="BK15" s="466"/>
      <c r="BL15" s="466"/>
      <c r="BM15" s="466"/>
      <c r="BN15" s="466"/>
      <c r="BO15" s="466"/>
      <c r="BP15" s="466"/>
      <c r="BQ15" s="466"/>
      <c r="BR15" s="466"/>
      <c r="BS15" s="466"/>
      <c r="BT15" s="466"/>
      <c r="BU15" s="466"/>
      <c r="BV15" s="467"/>
      <c r="BW15" s="467"/>
      <c r="BX15" s="467"/>
      <c r="BY15" s="467"/>
      <c r="BZ15" s="467"/>
      <c r="CA15" s="467"/>
      <c r="CB15" s="467"/>
      <c r="CC15" s="467"/>
      <c r="CD15" s="467"/>
      <c r="CE15" s="467"/>
    </row>
    <row r="16" spans="1:83" s="1640" customFormat="1" ht="15" hidden="1" customHeight="1">
      <c r="A16" s="464"/>
      <c r="B16" s="465"/>
      <c r="C16" s="465"/>
      <c r="D16" s="2198"/>
      <c r="E16" s="2193" t="s">
        <v>483</v>
      </c>
      <c r="F16" s="2194"/>
      <c r="G16" s="2195"/>
      <c r="H16" s="2196" t="e">
        <f>IF(A14="","",INDEX(DIFFERENTIATION_UNMERGE_SYSTEM,MATCH(A14,DIFFERENTIATION_ID_DIFF,0)))</f>
        <v>#REF!</v>
      </c>
      <c r="I16" s="2196"/>
      <c r="J16" s="2196"/>
      <c r="K16" s="2196"/>
      <c r="L16" s="2196"/>
      <c r="M16" s="2196"/>
      <c r="N16" s="2196"/>
      <c r="O16" s="2196"/>
      <c r="P16" s="2196"/>
      <c r="Q16" s="2196"/>
      <c r="R16" s="2196"/>
      <c r="S16" s="546"/>
      <c r="T16" s="543"/>
      <c r="U16" s="466"/>
      <c r="V16" s="466"/>
      <c r="W16" s="467"/>
      <c r="X16" s="467"/>
      <c r="Y16" s="467"/>
      <c r="Z16" s="467"/>
      <c r="AA16" s="468"/>
      <c r="AB16" s="469"/>
      <c r="AC16" s="2205"/>
      <c r="AD16" s="470"/>
      <c r="AE16" s="471"/>
      <c r="AF16" s="471"/>
      <c r="AG16" s="472"/>
      <c r="AH16" s="473"/>
      <c r="AI16" s="466"/>
      <c r="AJ16" s="466"/>
      <c r="AK16" s="466"/>
      <c r="AL16" s="466"/>
      <c r="AM16" s="466"/>
      <c r="AN16" s="466"/>
      <c r="AO16" s="466"/>
      <c r="AP16" s="466"/>
      <c r="AQ16" s="466"/>
      <c r="AR16" s="466"/>
      <c r="AS16" s="466"/>
      <c r="AT16" s="466"/>
      <c r="AU16" s="466"/>
      <c r="AV16" s="466"/>
      <c r="AW16" s="466"/>
      <c r="AX16" s="466"/>
      <c r="AY16" s="466"/>
      <c r="AZ16" s="466"/>
      <c r="BA16" s="466"/>
      <c r="BB16" s="466"/>
      <c r="BC16" s="466"/>
      <c r="BD16" s="466"/>
      <c r="BE16" s="466"/>
      <c r="BF16" s="466"/>
      <c r="BG16" s="466"/>
      <c r="BH16" s="466"/>
      <c r="BI16" s="466"/>
      <c r="BJ16" s="466"/>
      <c r="BK16" s="466"/>
      <c r="BL16" s="466"/>
      <c r="BM16" s="466"/>
      <c r="BN16" s="466"/>
      <c r="BO16" s="466"/>
      <c r="BP16" s="466"/>
      <c r="BQ16" s="466"/>
      <c r="BR16" s="466"/>
      <c r="BS16" s="466"/>
      <c r="BT16" s="466"/>
      <c r="BU16" s="466"/>
      <c r="BV16" s="467"/>
      <c r="BW16" s="467"/>
      <c r="BX16" s="467"/>
      <c r="BY16" s="467"/>
      <c r="BZ16" s="467"/>
      <c r="CA16" s="467"/>
      <c r="CB16" s="467"/>
      <c r="CC16" s="467"/>
      <c r="CD16" s="467"/>
      <c r="CE16" s="467"/>
    </row>
    <row r="17" spans="1:83" s="1640" customFormat="1" ht="22.5" hidden="1" customHeight="1">
      <c r="A17" s="474"/>
      <c r="B17" s="297"/>
      <c r="C17" s="293"/>
      <c r="D17" s="2198"/>
      <c r="E17" s="2201" t="s">
        <v>528</v>
      </c>
      <c r="F17" s="2201"/>
      <c r="G17" s="2201"/>
      <c r="H17" s="2201"/>
      <c r="I17" s="2201"/>
      <c r="J17" s="2201"/>
      <c r="K17" s="2201"/>
      <c r="L17" s="2201"/>
      <c r="M17" s="2201"/>
      <c r="N17" s="2201"/>
      <c r="O17" s="2201"/>
      <c r="P17" s="2201"/>
      <c r="Q17" s="416">
        <f>SUMIF(T18:T19,"i",Q18:Q19)</f>
        <v>0</v>
      </c>
      <c r="R17" s="800"/>
      <c r="S17" s="686" t="s">
        <v>529</v>
      </c>
      <c r="T17" s="544" t="s">
        <v>530</v>
      </c>
      <c r="U17" s="2115">
        <v>1</v>
      </c>
      <c r="V17" s="2115" t="str">
        <f>INDEX(B_FHD_FLAG_INDEX_1,1,MATCH(A14,B_FHD_FLAG_DIFFERENTIATION,0))</f>
        <v>отсутствует</v>
      </c>
      <c r="W17" s="297"/>
      <c r="X17" s="297"/>
      <c r="Y17" s="297"/>
      <c r="Z17" s="297"/>
      <c r="AA17" s="379"/>
      <c r="AB17" s="297"/>
      <c r="AC17" s="2205"/>
      <c r="AD17" s="470"/>
      <c r="AE17" s="297"/>
      <c r="AF17" s="297"/>
      <c r="AG17" s="379"/>
      <c r="AH17" s="379"/>
      <c r="AI17" s="379"/>
      <c r="AJ17" s="379"/>
      <c r="AK17" s="379"/>
      <c r="AL17" s="379"/>
      <c r="AM17" s="379"/>
      <c r="AN17" s="379"/>
      <c r="AO17" s="379"/>
      <c r="AP17" s="379"/>
      <c r="AQ17" s="379"/>
      <c r="AR17" s="379"/>
      <c r="AS17" s="379"/>
      <c r="AT17" s="379"/>
      <c r="AU17" s="379"/>
      <c r="AV17" s="379"/>
      <c r="AW17" s="379"/>
      <c r="AX17" s="379"/>
      <c r="AY17" s="379"/>
      <c r="AZ17" s="379"/>
      <c r="BA17" s="379"/>
      <c r="BB17" s="379"/>
      <c r="BC17" s="379"/>
      <c r="BD17" s="379"/>
      <c r="BE17" s="379"/>
      <c r="BF17" s="379"/>
      <c r="BG17" s="379"/>
      <c r="BH17" s="379"/>
      <c r="BI17" s="379"/>
      <c r="BJ17" s="379"/>
      <c r="BK17" s="379"/>
      <c r="BL17" s="379"/>
      <c r="BM17" s="379"/>
      <c r="BN17" s="379"/>
      <c r="BO17" s="379"/>
      <c r="BP17" s="379"/>
      <c r="BQ17" s="379"/>
      <c r="BR17" s="379"/>
      <c r="BS17" s="379"/>
      <c r="BT17" s="379"/>
      <c r="BU17" s="379"/>
      <c r="BV17" s="297"/>
      <c r="BW17" s="297"/>
      <c r="BX17" s="297"/>
      <c r="BY17" s="297"/>
      <c r="BZ17" s="297"/>
      <c r="CA17" s="297"/>
      <c r="CB17" s="297"/>
      <c r="CC17" s="297"/>
      <c r="CD17" s="297"/>
      <c r="CE17" s="297"/>
    </row>
    <row r="18" spans="1:83" s="1640" customFormat="1" ht="11.25" hidden="1" customHeight="1">
      <c r="A18" s="475"/>
      <c r="B18" s="379"/>
      <c r="C18" s="379"/>
      <c r="D18" s="2198"/>
      <c r="E18" s="476"/>
      <c r="F18" s="476">
        <v>0</v>
      </c>
      <c r="G18" s="476"/>
      <c r="H18" s="476"/>
      <c r="I18" s="476"/>
      <c r="J18" s="476"/>
      <c r="K18" s="476"/>
      <c r="L18" s="476"/>
      <c r="M18" s="476"/>
      <c r="N18" s="476"/>
      <c r="O18" s="476"/>
      <c r="P18" s="476"/>
      <c r="Q18" s="476"/>
      <c r="R18" s="476"/>
      <c r="S18" s="477"/>
      <c r="T18" s="545"/>
      <c r="U18" s="2115"/>
      <c r="V18" s="2115"/>
      <c r="W18" s="379"/>
      <c r="X18" s="379"/>
      <c r="Y18" s="379"/>
      <c r="Z18" s="379"/>
      <c r="AA18" s="379"/>
      <c r="AB18" s="297"/>
      <c r="AC18" s="2205"/>
      <c r="AD18" s="470"/>
      <c r="AE18" s="297"/>
      <c r="AF18" s="297"/>
      <c r="AG18" s="379"/>
      <c r="AH18" s="379"/>
      <c r="AI18" s="379"/>
      <c r="AJ18" s="379"/>
      <c r="AK18" s="379"/>
      <c r="AL18" s="379"/>
      <c r="AM18" s="379"/>
      <c r="AN18" s="379"/>
      <c r="AO18" s="379"/>
      <c r="AP18" s="379"/>
      <c r="AQ18" s="379"/>
      <c r="AR18" s="379"/>
      <c r="AS18" s="379"/>
      <c r="AT18" s="379"/>
      <c r="AU18" s="379"/>
      <c r="AV18" s="379"/>
      <c r="AW18" s="379"/>
      <c r="AX18" s="379"/>
      <c r="AY18" s="379"/>
      <c r="AZ18" s="379"/>
      <c r="BA18" s="379"/>
      <c r="BB18" s="379"/>
      <c r="BC18" s="379"/>
      <c r="BD18" s="379"/>
      <c r="BE18" s="379"/>
      <c r="BF18" s="379"/>
      <c r="BG18" s="379"/>
      <c r="BH18" s="379"/>
      <c r="BI18" s="379"/>
      <c r="BJ18" s="379"/>
      <c r="BK18" s="379"/>
      <c r="BL18" s="379"/>
      <c r="BM18" s="379"/>
      <c r="BN18" s="379"/>
      <c r="BO18" s="379"/>
      <c r="BP18" s="379"/>
      <c r="BQ18" s="379"/>
      <c r="BR18" s="379"/>
      <c r="BS18" s="379"/>
      <c r="BT18" s="379"/>
      <c r="BU18" s="379"/>
      <c r="BV18" s="379"/>
      <c r="BW18" s="379"/>
      <c r="BX18" s="379"/>
      <c r="BY18" s="379"/>
      <c r="BZ18" s="379"/>
      <c r="CA18" s="379"/>
      <c r="CB18" s="379"/>
      <c r="CC18" s="379"/>
      <c r="CD18" s="379"/>
      <c r="CE18" s="379"/>
    </row>
    <row r="19" spans="1:83" s="1640" customFormat="1" ht="11.25" hidden="1" customHeight="1">
      <c r="A19" s="474"/>
      <c r="B19" s="297"/>
      <c r="C19" s="293"/>
      <c r="D19" s="2198"/>
      <c r="E19" s="490" t="s">
        <v>1</v>
      </c>
      <c r="F19" s="491" t="s">
        <v>1</v>
      </c>
      <c r="G19" s="491" t="s">
        <v>1</v>
      </c>
      <c r="H19" s="492" t="s">
        <v>1</v>
      </c>
      <c r="I19" s="492"/>
      <c r="J19" s="492"/>
      <c r="K19" s="492"/>
      <c r="L19" s="492"/>
      <c r="M19" s="492"/>
      <c r="N19" s="492"/>
      <c r="O19" s="492"/>
      <c r="P19" s="492"/>
      <c r="Q19" s="492"/>
      <c r="R19" s="493"/>
      <c r="S19" s="803"/>
      <c r="T19" s="545"/>
      <c r="U19" s="2115"/>
      <c r="V19" s="2115"/>
      <c r="W19" s="297"/>
      <c r="X19" s="297"/>
      <c r="Y19" s="297"/>
      <c r="Z19" s="297"/>
      <c r="AA19" s="379"/>
      <c r="AB19" s="297"/>
      <c r="AC19" s="2205"/>
      <c r="AD19" s="470"/>
      <c r="AE19" s="297"/>
      <c r="AF19" s="297"/>
      <c r="AG19" s="379"/>
      <c r="AH19" s="379"/>
      <c r="AI19" s="379"/>
      <c r="AJ19" s="379"/>
      <c r="AK19" s="379"/>
      <c r="AL19" s="379"/>
      <c r="AM19" s="379"/>
      <c r="AN19" s="379"/>
      <c r="AO19" s="379"/>
      <c r="AP19" s="379"/>
      <c r="AQ19" s="379"/>
      <c r="AR19" s="379"/>
      <c r="AS19" s="379"/>
      <c r="AT19" s="379"/>
      <c r="AU19" s="379"/>
      <c r="AV19" s="379"/>
      <c r="AW19" s="379"/>
      <c r="AX19" s="379"/>
      <c r="AY19" s="379"/>
      <c r="AZ19" s="379"/>
      <c r="BA19" s="379"/>
      <c r="BB19" s="379"/>
      <c r="BC19" s="379"/>
      <c r="BD19" s="379"/>
      <c r="BE19" s="379"/>
      <c r="BF19" s="379"/>
      <c r="BG19" s="379"/>
      <c r="BH19" s="379"/>
      <c r="BI19" s="379"/>
      <c r="BJ19" s="379"/>
      <c r="BK19" s="379"/>
      <c r="BL19" s="379"/>
      <c r="BM19" s="379"/>
      <c r="BN19" s="379"/>
      <c r="BO19" s="379"/>
      <c r="BP19" s="379"/>
      <c r="BQ19" s="379"/>
      <c r="BR19" s="379"/>
      <c r="BS19" s="379"/>
      <c r="BT19" s="379"/>
      <c r="BU19" s="379"/>
      <c r="BV19" s="297"/>
      <c r="BW19" s="297"/>
      <c r="BX19" s="297"/>
      <c r="BY19" s="297"/>
      <c r="BZ19" s="297"/>
      <c r="CA19" s="297"/>
      <c r="CB19" s="297"/>
      <c r="CC19" s="297"/>
      <c r="CD19" s="297"/>
      <c r="CE19" s="297"/>
    </row>
    <row r="20" spans="1:83" s="1640" customFormat="1" ht="22.5" hidden="1" customHeight="1">
      <c r="A20" s="474"/>
      <c r="B20" s="297"/>
      <c r="C20" s="293"/>
      <c r="D20" s="2198"/>
      <c r="E20" s="2201" t="s">
        <v>531</v>
      </c>
      <c r="F20" s="2201"/>
      <c r="G20" s="2201"/>
      <c r="H20" s="2201"/>
      <c r="I20" s="2201"/>
      <c r="J20" s="2201"/>
      <c r="K20" s="2201"/>
      <c r="L20" s="2201"/>
      <c r="M20" s="2201"/>
      <c r="N20" s="2201"/>
      <c r="O20" s="2201"/>
      <c r="P20" s="2201"/>
      <c r="Q20" s="416">
        <f>SUMIF(T21:T22,"i",Q21:Q22)</f>
        <v>0</v>
      </c>
      <c r="R20" s="800"/>
      <c r="S20" s="537" t="s">
        <v>532</v>
      </c>
      <c r="T20" s="544" t="s">
        <v>530</v>
      </c>
      <c r="U20" s="2115">
        <v>2</v>
      </c>
      <c r="V20" s="2115" t="str">
        <f>INDEX(B_FHD_FLAG_INDEX_2,1,MATCH(A14,B_FHD_FLAG_DIFFERENTIATION,0))</f>
        <v>отсутствует</v>
      </c>
      <c r="W20" s="297"/>
      <c r="X20" s="297"/>
      <c r="Y20" s="297"/>
      <c r="Z20" s="297"/>
      <c r="AA20" s="379"/>
      <c r="AB20" s="297"/>
      <c r="AC20" s="534"/>
      <c r="AD20" s="470"/>
      <c r="AE20" s="297"/>
      <c r="AF20" s="297"/>
      <c r="AG20" s="379"/>
      <c r="AH20" s="379"/>
      <c r="AI20" s="379"/>
      <c r="AJ20" s="379"/>
      <c r="AK20" s="379"/>
      <c r="AL20" s="379"/>
      <c r="AM20" s="379"/>
      <c r="AN20" s="379"/>
      <c r="AO20" s="379"/>
      <c r="AP20" s="379"/>
      <c r="AQ20" s="379"/>
      <c r="AR20" s="379"/>
      <c r="AS20" s="379"/>
      <c r="AT20" s="379"/>
      <c r="AU20" s="379"/>
      <c r="AV20" s="379"/>
      <c r="AW20" s="379"/>
      <c r="AX20" s="379"/>
      <c r="AY20" s="379"/>
      <c r="AZ20" s="379"/>
      <c r="BA20" s="379"/>
      <c r="BB20" s="379"/>
      <c r="BC20" s="379"/>
      <c r="BD20" s="379"/>
      <c r="BE20" s="379"/>
      <c r="BF20" s="379"/>
      <c r="BG20" s="379"/>
      <c r="BH20" s="379"/>
      <c r="BI20" s="379"/>
      <c r="BJ20" s="379"/>
      <c r="BK20" s="379"/>
      <c r="BL20" s="379"/>
      <c r="BM20" s="379"/>
      <c r="BN20" s="379"/>
      <c r="BO20" s="379"/>
      <c r="BP20" s="379"/>
      <c r="BQ20" s="379"/>
      <c r="BR20" s="379"/>
      <c r="BS20" s="379"/>
      <c r="BT20" s="379"/>
      <c r="BU20" s="379"/>
      <c r="BV20" s="297"/>
      <c r="BW20" s="297"/>
      <c r="BX20" s="297"/>
      <c r="BY20" s="297"/>
      <c r="BZ20" s="297"/>
      <c r="CA20" s="297"/>
      <c r="CB20" s="297"/>
      <c r="CC20" s="297"/>
      <c r="CD20" s="297"/>
      <c r="CE20" s="297"/>
    </row>
    <row r="21" spans="1:83" s="1640" customFormat="1" ht="11.25" hidden="1" customHeight="1">
      <c r="A21" s="536"/>
      <c r="B21" s="379"/>
      <c r="C21" s="379"/>
      <c r="D21" s="2198"/>
      <c r="E21" s="476"/>
      <c r="F21" s="476">
        <v>0</v>
      </c>
      <c r="G21" s="476"/>
      <c r="H21" s="476"/>
      <c r="I21" s="476"/>
      <c r="J21" s="476"/>
      <c r="K21" s="476"/>
      <c r="L21" s="476"/>
      <c r="M21" s="476"/>
      <c r="N21" s="476"/>
      <c r="O21" s="476"/>
      <c r="P21" s="476"/>
      <c r="Q21" s="476"/>
      <c r="R21" s="476"/>
      <c r="S21" s="477"/>
      <c r="T21" s="545"/>
      <c r="U21" s="2115"/>
      <c r="V21" s="2115"/>
      <c r="W21" s="379"/>
      <c r="X21" s="379"/>
      <c r="Y21" s="379"/>
      <c r="Z21" s="379"/>
      <c r="AA21" s="379"/>
      <c r="AB21" s="297"/>
      <c r="AC21" s="534"/>
      <c r="AD21" s="470"/>
      <c r="AE21" s="297"/>
      <c r="AF21" s="297"/>
      <c r="AG21" s="379"/>
      <c r="AH21" s="379"/>
      <c r="AI21" s="379"/>
      <c r="AJ21" s="379"/>
      <c r="AK21" s="379"/>
      <c r="AL21" s="379"/>
      <c r="AM21" s="379"/>
      <c r="AN21" s="379"/>
      <c r="AO21" s="379"/>
      <c r="AP21" s="379"/>
      <c r="AQ21" s="379"/>
      <c r="AR21" s="379"/>
      <c r="AS21" s="379"/>
      <c r="AT21" s="379"/>
      <c r="AU21" s="379"/>
      <c r="AV21" s="379"/>
      <c r="AW21" s="379"/>
      <c r="AX21" s="379"/>
      <c r="AY21" s="379"/>
      <c r="AZ21" s="379"/>
      <c r="BA21" s="379"/>
      <c r="BB21" s="379"/>
      <c r="BC21" s="379"/>
      <c r="BD21" s="379"/>
      <c r="BE21" s="379"/>
      <c r="BF21" s="379"/>
      <c r="BG21" s="379"/>
      <c r="BH21" s="379"/>
      <c r="BI21" s="379"/>
      <c r="BJ21" s="379"/>
      <c r="BK21" s="379"/>
      <c r="BL21" s="379"/>
      <c r="BM21" s="379"/>
      <c r="BN21" s="379"/>
      <c r="BO21" s="379"/>
      <c r="BP21" s="379"/>
      <c r="BQ21" s="379"/>
      <c r="BR21" s="379"/>
      <c r="BS21" s="379"/>
      <c r="BT21" s="379"/>
      <c r="BU21" s="379"/>
      <c r="BV21" s="379"/>
      <c r="BW21" s="379"/>
      <c r="BX21" s="379"/>
      <c r="BY21" s="379"/>
      <c r="BZ21" s="379"/>
      <c r="CA21" s="379"/>
      <c r="CB21" s="379"/>
      <c r="CC21" s="379"/>
      <c r="CD21" s="379"/>
      <c r="CE21" s="379"/>
    </row>
    <row r="22" spans="1:83" s="1640" customFormat="1" ht="11.25" hidden="1" customHeight="1">
      <c r="A22" s="474"/>
      <c r="B22" s="297"/>
      <c r="C22" s="293"/>
      <c r="D22" s="2199"/>
      <c r="E22" s="490" t="s">
        <v>1</v>
      </c>
      <c r="F22" s="491" t="s">
        <v>1</v>
      </c>
      <c r="G22" s="491" t="s">
        <v>1</v>
      </c>
      <c r="H22" s="492" t="s">
        <v>1</v>
      </c>
      <c r="I22" s="492"/>
      <c r="J22" s="492"/>
      <c r="K22" s="492"/>
      <c r="L22" s="492"/>
      <c r="M22" s="492"/>
      <c r="N22" s="492"/>
      <c r="O22" s="492"/>
      <c r="P22" s="492"/>
      <c r="Q22" s="492"/>
      <c r="R22" s="493"/>
      <c r="S22" s="803"/>
      <c r="T22" s="545"/>
      <c r="U22" s="2115"/>
      <c r="V22" s="2115"/>
      <c r="W22" s="297"/>
      <c r="X22" s="297"/>
      <c r="Y22" s="297"/>
      <c r="Z22" s="297"/>
      <c r="AA22" s="379"/>
      <c r="AB22" s="297"/>
      <c r="AC22" s="534"/>
      <c r="AD22" s="470"/>
      <c r="AE22" s="297"/>
      <c r="AF22" s="297"/>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c r="BF22" s="379"/>
      <c r="BG22" s="379"/>
      <c r="BH22" s="379"/>
      <c r="BI22" s="379"/>
      <c r="BJ22" s="379"/>
      <c r="BK22" s="379"/>
      <c r="BL22" s="379"/>
      <c r="BM22" s="379"/>
      <c r="BN22" s="379"/>
      <c r="BO22" s="379"/>
      <c r="BP22" s="379"/>
      <c r="BQ22" s="379"/>
      <c r="BR22" s="379"/>
      <c r="BS22" s="379"/>
      <c r="BT22" s="379"/>
      <c r="BU22" s="379"/>
      <c r="BV22" s="297"/>
      <c r="BW22" s="297"/>
      <c r="BX22" s="297"/>
      <c r="BY22" s="297"/>
      <c r="BZ22" s="297"/>
      <c r="CA22" s="297"/>
      <c r="CB22" s="297"/>
      <c r="CC22" s="297"/>
      <c r="CD22" s="297"/>
      <c r="CE22" s="297"/>
    </row>
    <row r="23" spans="1:83" ht="15" hidden="1" customHeight="1">
      <c r="A23" s="464" t="s">
        <v>57</v>
      </c>
      <c r="B23" s="465"/>
      <c r="C23" s="465" t="s">
        <v>1</v>
      </c>
      <c r="D23" s="2202" t="s">
        <v>88</v>
      </c>
      <c r="E23" s="2193" t="s">
        <v>39</v>
      </c>
      <c r="F23" s="2194"/>
      <c r="G23" s="2195"/>
      <c r="H23" s="2196" t="e">
        <f>IF(A23="","",INDEX(DIFFERENTIATION_UNMERGE_VD,MATCH(A23,DIFFERENTIATION_ID_DIFF,0)))</f>
        <v>#REF!</v>
      </c>
      <c r="I23" s="2196"/>
      <c r="J23" s="2196"/>
      <c r="K23" s="2196"/>
      <c r="L23" s="2196"/>
      <c r="M23" s="2196"/>
      <c r="N23" s="2196"/>
      <c r="O23" s="2196"/>
      <c r="P23" s="2196"/>
      <c r="Q23" s="2196"/>
      <c r="R23" s="2196"/>
      <c r="S23" s="546"/>
      <c r="T23" s="543"/>
      <c r="U23" s="466"/>
      <c r="V23" s="466"/>
      <c r="W23" s="467"/>
      <c r="X23" s="467"/>
      <c r="Y23" s="467"/>
      <c r="Z23" s="467"/>
      <c r="AA23" s="468"/>
      <c r="AB23" s="469"/>
      <c r="AC23" s="2205"/>
      <c r="AD23" s="470"/>
      <c r="AE23" s="471" t="s">
        <v>1</v>
      </c>
      <c r="AF23" s="471"/>
      <c r="AG23" s="472" t="s">
        <v>527</v>
      </c>
      <c r="AH23" s="473">
        <v>3</v>
      </c>
      <c r="AI23" s="466"/>
      <c r="AJ23" s="466"/>
      <c r="AK23" s="466"/>
      <c r="AL23" s="466"/>
      <c r="AM23" s="466"/>
      <c r="AN23" s="466"/>
      <c r="AO23" s="466"/>
      <c r="AP23" s="466"/>
      <c r="AQ23" s="466"/>
      <c r="AR23" s="466"/>
      <c r="AS23" s="466"/>
      <c r="AT23" s="466"/>
      <c r="AU23" s="466"/>
      <c r="AV23" s="466"/>
      <c r="AW23" s="466"/>
      <c r="AX23" s="466"/>
      <c r="AY23" s="466"/>
      <c r="AZ23" s="466"/>
      <c r="BA23" s="466"/>
      <c r="BB23" s="466"/>
      <c r="BC23" s="466"/>
      <c r="BD23" s="466"/>
      <c r="BE23" s="466"/>
      <c r="BF23" s="466"/>
      <c r="BG23" s="466"/>
      <c r="BH23" s="466"/>
      <c r="BI23" s="466"/>
      <c r="BJ23" s="466"/>
      <c r="BK23" s="466"/>
      <c r="BL23" s="466"/>
      <c r="BM23" s="466"/>
      <c r="BN23" s="466"/>
      <c r="BO23" s="466"/>
      <c r="BP23" s="466"/>
      <c r="BQ23" s="466"/>
      <c r="BR23" s="466"/>
      <c r="BS23" s="466"/>
      <c r="BT23" s="466"/>
      <c r="BU23" s="466"/>
      <c r="BV23" s="467"/>
      <c r="BW23" s="467"/>
      <c r="BX23" s="467"/>
      <c r="BY23" s="467"/>
      <c r="BZ23" s="467"/>
      <c r="CA23" s="467"/>
      <c r="CB23" s="467"/>
      <c r="CC23" s="467"/>
      <c r="CD23" s="467"/>
      <c r="CE23" s="467"/>
    </row>
    <row r="24" spans="1:83" ht="15" hidden="1" customHeight="1">
      <c r="A24" s="464"/>
      <c r="B24" s="465"/>
      <c r="C24" s="465"/>
      <c r="D24" s="2203"/>
      <c r="E24" s="2193" t="s">
        <v>482</v>
      </c>
      <c r="F24" s="2194"/>
      <c r="G24" s="2195"/>
      <c r="H24" s="2196" t="e">
        <f>IF(A23="","",INDEX(DIFFERENTIATION_UNMERGE_AREA,MATCH(A23,DIFFERENTIATION_ID_DIFF,0)))</f>
        <v>#REF!</v>
      </c>
      <c r="I24" s="2196"/>
      <c r="J24" s="2196"/>
      <c r="K24" s="2196"/>
      <c r="L24" s="2196"/>
      <c r="M24" s="2196"/>
      <c r="N24" s="2196"/>
      <c r="O24" s="2196"/>
      <c r="P24" s="2196"/>
      <c r="Q24" s="2196"/>
      <c r="R24" s="2196"/>
      <c r="S24" s="546"/>
      <c r="T24" s="543"/>
      <c r="U24" s="466"/>
      <c r="V24" s="466"/>
      <c r="W24" s="467"/>
      <c r="X24" s="467"/>
      <c r="Y24" s="467"/>
      <c r="Z24" s="467"/>
      <c r="AA24" s="468"/>
      <c r="AB24" s="469"/>
      <c r="AC24" s="2205"/>
      <c r="AD24" s="470"/>
      <c r="AE24" s="471"/>
      <c r="AF24" s="471"/>
      <c r="AG24" s="472"/>
      <c r="AH24" s="473"/>
      <c r="AI24" s="466"/>
      <c r="AJ24" s="466"/>
      <c r="AK24" s="466"/>
      <c r="AL24" s="466"/>
      <c r="AM24" s="466"/>
      <c r="AN24" s="466"/>
      <c r="AO24" s="466"/>
      <c r="AP24" s="466"/>
      <c r="AQ24" s="466"/>
      <c r="AR24" s="466"/>
      <c r="AS24" s="466"/>
      <c r="AT24" s="466"/>
      <c r="AU24" s="466"/>
      <c r="AV24" s="466"/>
      <c r="AW24" s="466"/>
      <c r="AX24" s="466"/>
      <c r="AY24" s="466"/>
      <c r="AZ24" s="466"/>
      <c r="BA24" s="466"/>
      <c r="BB24" s="466"/>
      <c r="BC24" s="466"/>
      <c r="BD24" s="466"/>
      <c r="BE24" s="466"/>
      <c r="BF24" s="466"/>
      <c r="BG24" s="466"/>
      <c r="BH24" s="466"/>
      <c r="BI24" s="466"/>
      <c r="BJ24" s="466"/>
      <c r="BK24" s="466"/>
      <c r="BL24" s="466"/>
      <c r="BM24" s="466"/>
      <c r="BN24" s="466"/>
      <c r="BO24" s="466"/>
      <c r="BP24" s="466"/>
      <c r="BQ24" s="466"/>
      <c r="BR24" s="466"/>
      <c r="BS24" s="466"/>
      <c r="BT24" s="466"/>
      <c r="BU24" s="466"/>
      <c r="BV24" s="467"/>
      <c r="BW24" s="467"/>
      <c r="BX24" s="467"/>
      <c r="BY24" s="467"/>
      <c r="BZ24" s="467"/>
      <c r="CA24" s="467"/>
      <c r="CB24" s="467"/>
      <c r="CC24" s="467"/>
      <c r="CD24" s="467"/>
      <c r="CE24" s="467"/>
    </row>
    <row r="25" spans="1:83" ht="15" hidden="1" customHeight="1">
      <c r="A25" s="464"/>
      <c r="B25" s="465"/>
      <c r="C25" s="465"/>
      <c r="D25" s="2203"/>
      <c r="E25" s="2193" t="s">
        <v>483</v>
      </c>
      <c r="F25" s="2194"/>
      <c r="G25" s="2195"/>
      <c r="H25" s="2196" t="e">
        <f>IF(A23="","",INDEX(DIFFERENTIATION_UNMERGE_SYSTEM,MATCH(A23,DIFFERENTIATION_ID_DIFF,0)))</f>
        <v>#REF!</v>
      </c>
      <c r="I25" s="2196"/>
      <c r="J25" s="2196"/>
      <c r="K25" s="2196"/>
      <c r="L25" s="2196"/>
      <c r="M25" s="2196"/>
      <c r="N25" s="2196"/>
      <c r="O25" s="2196"/>
      <c r="P25" s="2196"/>
      <c r="Q25" s="2196"/>
      <c r="R25" s="2196"/>
      <c r="S25" s="546"/>
      <c r="T25" s="543"/>
      <c r="U25" s="466"/>
      <c r="V25" s="466"/>
      <c r="W25" s="467"/>
      <c r="X25" s="467"/>
      <c r="Y25" s="467"/>
      <c r="Z25" s="467"/>
      <c r="AA25" s="468"/>
      <c r="AB25" s="469"/>
      <c r="AC25" s="2205"/>
      <c r="AD25" s="470"/>
      <c r="AE25" s="471"/>
      <c r="AF25" s="471"/>
      <c r="AG25" s="472"/>
      <c r="AH25" s="473"/>
      <c r="AI25" s="466"/>
      <c r="AJ25" s="466"/>
      <c r="AK25" s="466"/>
      <c r="AL25" s="466"/>
      <c r="AM25" s="466"/>
      <c r="AN25" s="466"/>
      <c r="AO25" s="466"/>
      <c r="AP25" s="466"/>
      <c r="AQ25" s="466"/>
      <c r="AR25" s="466"/>
      <c r="AS25" s="466"/>
      <c r="AT25" s="466"/>
      <c r="AU25" s="466"/>
      <c r="AV25" s="466"/>
      <c r="AW25" s="466"/>
      <c r="AX25" s="466"/>
      <c r="AY25" s="466"/>
      <c r="AZ25" s="466"/>
      <c r="BA25" s="466"/>
      <c r="BB25" s="466"/>
      <c r="BC25" s="466"/>
      <c r="BD25" s="466"/>
      <c r="BE25" s="466"/>
      <c r="BF25" s="466"/>
      <c r="BG25" s="466"/>
      <c r="BH25" s="466"/>
      <c r="BI25" s="466"/>
      <c r="BJ25" s="466"/>
      <c r="BK25" s="466"/>
      <c r="BL25" s="466"/>
      <c r="BM25" s="466"/>
      <c r="BN25" s="466"/>
      <c r="BO25" s="466"/>
      <c r="BP25" s="466"/>
      <c r="BQ25" s="466"/>
      <c r="BR25" s="466"/>
      <c r="BS25" s="466"/>
      <c r="BT25" s="466"/>
      <c r="BU25" s="466"/>
      <c r="BV25" s="467"/>
      <c r="BW25" s="467"/>
      <c r="BX25" s="467"/>
      <c r="BY25" s="467"/>
      <c r="BZ25" s="467"/>
      <c r="CA25" s="467"/>
      <c r="CB25" s="467"/>
      <c r="CC25" s="467"/>
      <c r="CD25" s="467"/>
      <c r="CE25" s="467"/>
    </row>
    <row r="26" spans="1:83" ht="24.75" hidden="1" customHeight="1">
      <c r="A26" s="1538"/>
      <c r="B26" s="929"/>
      <c r="C26" s="293"/>
      <c r="D26" s="2203"/>
      <c r="E26" s="2201" t="s">
        <v>528</v>
      </c>
      <c r="F26" s="2201"/>
      <c r="G26" s="2201"/>
      <c r="H26" s="2201"/>
      <c r="I26" s="2201"/>
      <c r="J26" s="2201"/>
      <c r="K26" s="2201"/>
      <c r="L26" s="2201"/>
      <c r="M26" s="2201"/>
      <c r="N26" s="2201"/>
      <c r="O26" s="2201"/>
      <c r="P26" s="2201"/>
      <c r="Q26" s="416">
        <f>SUMIF(T27:T28,"i",Q27:Q28)</f>
        <v>0</v>
      </c>
      <c r="R26" s="800"/>
      <c r="S26" s="1530" t="s">
        <v>529</v>
      </c>
      <c r="T26" s="544" t="s">
        <v>530</v>
      </c>
      <c r="U26" s="2115">
        <v>1</v>
      </c>
      <c r="V26" s="2115" t="s">
        <v>493</v>
      </c>
      <c r="W26" s="929"/>
      <c r="X26" s="929"/>
      <c r="Y26" s="929"/>
      <c r="Z26" s="929"/>
      <c r="AA26" s="1406"/>
      <c r="AB26" s="929"/>
      <c r="AC26" s="2205"/>
      <c r="AD26" s="470"/>
      <c r="AE26" s="929"/>
      <c r="AF26" s="929"/>
      <c r="AG26" s="1406"/>
      <c r="AH26" s="1406"/>
      <c r="AI26" s="1406"/>
      <c r="AJ26" s="1406"/>
      <c r="AK26" s="1406"/>
      <c r="AL26" s="1406"/>
      <c r="AM26" s="1406"/>
      <c r="AN26" s="1406"/>
      <c r="AO26" s="1406"/>
      <c r="AP26" s="1406"/>
      <c r="AQ26" s="1406"/>
      <c r="AR26" s="1406"/>
      <c r="AS26" s="1406"/>
      <c r="AT26" s="1406"/>
      <c r="AU26" s="1406"/>
      <c r="AV26" s="1406"/>
      <c r="AW26" s="1406"/>
      <c r="AX26" s="1406"/>
      <c r="AY26" s="1406"/>
      <c r="AZ26" s="1406"/>
      <c r="BA26" s="1406"/>
      <c r="BB26" s="1406"/>
      <c r="BC26" s="1406"/>
      <c r="BD26" s="1406"/>
      <c r="BE26" s="1406"/>
      <c r="BF26" s="1406"/>
      <c r="BG26" s="1406"/>
      <c r="BH26" s="1406"/>
      <c r="BI26" s="1406"/>
      <c r="BJ26" s="1406"/>
      <c r="BK26" s="1406"/>
      <c r="BL26" s="1406"/>
      <c r="BM26" s="1406"/>
      <c r="BN26" s="1406"/>
      <c r="BO26" s="1406"/>
      <c r="BP26" s="1406"/>
      <c r="BQ26" s="1406"/>
      <c r="BR26" s="1406"/>
      <c r="BS26" s="1406"/>
      <c r="BT26" s="1406"/>
      <c r="BU26" s="1406"/>
      <c r="BV26" s="929"/>
      <c r="BW26" s="929"/>
      <c r="BX26" s="929"/>
      <c r="BY26" s="929"/>
      <c r="BZ26" s="929"/>
      <c r="CA26" s="929"/>
      <c r="CB26" s="929"/>
      <c r="CC26" s="929"/>
      <c r="CD26" s="929"/>
      <c r="CE26" s="929"/>
    </row>
    <row r="27" spans="1:83" ht="11.25" hidden="1" customHeight="1">
      <c r="A27" s="1525"/>
      <c r="B27" s="1406"/>
      <c r="C27" s="1406"/>
      <c r="D27" s="2203"/>
      <c r="E27" s="476"/>
      <c r="F27" s="476">
        <v>0</v>
      </c>
      <c r="G27" s="476"/>
      <c r="H27" s="476"/>
      <c r="I27" s="476"/>
      <c r="J27" s="476"/>
      <c r="K27" s="476"/>
      <c r="L27" s="476"/>
      <c r="M27" s="476"/>
      <c r="N27" s="476"/>
      <c r="O27" s="476"/>
      <c r="P27" s="476"/>
      <c r="Q27" s="476"/>
      <c r="R27" s="476"/>
      <c r="S27" s="477"/>
      <c r="T27" s="545"/>
      <c r="U27" s="2115"/>
      <c r="V27" s="2115"/>
      <c r="W27" s="1406"/>
      <c r="X27" s="1406"/>
      <c r="Y27" s="1406"/>
      <c r="Z27" s="1406"/>
      <c r="AA27" s="1406"/>
      <c r="AB27" s="929"/>
      <c r="AC27" s="2205"/>
      <c r="AD27" s="470"/>
      <c r="AE27" s="929"/>
      <c r="AF27" s="929"/>
      <c r="AG27" s="1406"/>
      <c r="AH27" s="1406"/>
      <c r="AI27" s="1406"/>
      <c r="AJ27" s="1406"/>
      <c r="AK27" s="1406"/>
      <c r="AL27" s="1406"/>
      <c r="AM27" s="1406"/>
      <c r="AN27" s="1406"/>
      <c r="AO27" s="1406"/>
      <c r="AP27" s="1406"/>
      <c r="AQ27" s="1406"/>
      <c r="AR27" s="1406"/>
      <c r="AS27" s="1406"/>
      <c r="AT27" s="1406"/>
      <c r="AU27" s="1406"/>
      <c r="AV27" s="1406"/>
      <c r="AW27" s="1406"/>
      <c r="AX27" s="1406"/>
      <c r="AY27" s="1406"/>
      <c r="AZ27" s="1406"/>
      <c r="BA27" s="1406"/>
      <c r="BB27" s="1406"/>
      <c r="BC27" s="1406"/>
      <c r="BD27" s="1406"/>
      <c r="BE27" s="1406"/>
      <c r="BF27" s="1406"/>
      <c r="BG27" s="1406"/>
      <c r="BH27" s="1406"/>
      <c r="BI27" s="1406"/>
      <c r="BJ27" s="1406"/>
      <c r="BK27" s="1406"/>
      <c r="BL27" s="1406"/>
      <c r="BM27" s="1406"/>
      <c r="BN27" s="1406"/>
      <c r="BO27" s="1406"/>
      <c r="BP27" s="1406"/>
      <c r="BQ27" s="1406"/>
      <c r="BR27" s="1406"/>
      <c r="BS27" s="1406"/>
      <c r="BT27" s="1406"/>
      <c r="BU27" s="1406"/>
      <c r="BV27" s="1406"/>
      <c r="BW27" s="1406"/>
      <c r="BX27" s="1406"/>
      <c r="BY27" s="1406"/>
      <c r="BZ27" s="1406"/>
      <c r="CA27" s="1406"/>
      <c r="CB27" s="1406"/>
      <c r="CC27" s="1406"/>
      <c r="CD27" s="1406"/>
      <c r="CE27" s="1406"/>
    </row>
    <row r="28" spans="1:83" ht="11.25" hidden="1" customHeight="1">
      <c r="A28" s="1538"/>
      <c r="B28" s="929"/>
      <c r="C28" s="293"/>
      <c r="D28" s="2203"/>
      <c r="E28" s="490" t="s">
        <v>1</v>
      </c>
      <c r="F28" s="936" t="s">
        <v>1</v>
      </c>
      <c r="G28" s="936" t="s">
        <v>533</v>
      </c>
      <c r="H28" s="492" t="s">
        <v>1</v>
      </c>
      <c r="I28" s="492"/>
      <c r="J28" s="492"/>
      <c r="K28" s="492"/>
      <c r="L28" s="492"/>
      <c r="M28" s="492"/>
      <c r="N28" s="492"/>
      <c r="O28" s="492"/>
      <c r="P28" s="492"/>
      <c r="Q28" s="492"/>
      <c r="R28" s="493"/>
      <c r="S28" s="494"/>
      <c r="T28" s="545"/>
      <c r="U28" s="2115"/>
      <c r="V28" s="2115"/>
      <c r="W28" s="929"/>
      <c r="X28" s="929"/>
      <c r="Y28" s="929"/>
      <c r="Z28" s="929"/>
      <c r="AA28" s="1406"/>
      <c r="AB28" s="929"/>
      <c r="AC28" s="2205"/>
      <c r="AD28" s="470"/>
      <c r="AE28" s="929"/>
      <c r="AF28" s="929"/>
      <c r="AG28" s="1406"/>
      <c r="AH28" s="1406"/>
      <c r="AI28" s="1406"/>
      <c r="AJ28" s="1406"/>
      <c r="AK28" s="1406"/>
      <c r="AL28" s="1406"/>
      <c r="AM28" s="1406"/>
      <c r="AN28" s="1406"/>
      <c r="AO28" s="1406"/>
      <c r="AP28" s="1406"/>
      <c r="AQ28" s="1406"/>
      <c r="AR28" s="1406"/>
      <c r="AS28" s="1406"/>
      <c r="AT28" s="1406"/>
      <c r="AU28" s="1406"/>
      <c r="AV28" s="1406"/>
      <c r="AW28" s="1406"/>
      <c r="AX28" s="1406"/>
      <c r="AY28" s="1406"/>
      <c r="AZ28" s="1406"/>
      <c r="BA28" s="1406"/>
      <c r="BB28" s="1406"/>
      <c r="BC28" s="1406"/>
      <c r="BD28" s="1406"/>
      <c r="BE28" s="1406"/>
      <c r="BF28" s="1406"/>
      <c r="BG28" s="1406"/>
      <c r="BH28" s="1406"/>
      <c r="BI28" s="1406"/>
      <c r="BJ28" s="1406"/>
      <c r="BK28" s="1406"/>
      <c r="BL28" s="1406"/>
      <c r="BM28" s="1406"/>
      <c r="BN28" s="1406"/>
      <c r="BO28" s="1406"/>
      <c r="BP28" s="1406"/>
      <c r="BQ28" s="1406"/>
      <c r="BR28" s="1406"/>
      <c r="BS28" s="1406"/>
      <c r="BT28" s="1406"/>
      <c r="BU28" s="1406"/>
      <c r="BV28" s="929"/>
      <c r="BW28" s="929"/>
      <c r="BX28" s="929"/>
      <c r="BY28" s="929"/>
      <c r="BZ28" s="929"/>
      <c r="CA28" s="929"/>
      <c r="CB28" s="929"/>
      <c r="CC28" s="929"/>
      <c r="CD28" s="929"/>
      <c r="CE28" s="929"/>
    </row>
    <row r="29" spans="1:83" ht="5.25" hidden="1" customHeight="1">
      <c r="A29" s="1525"/>
      <c r="B29" s="1406"/>
      <c r="C29" s="1406"/>
      <c r="D29" s="2203"/>
      <c r="E29" s="822"/>
      <c r="F29" s="822"/>
      <c r="G29" s="822"/>
      <c r="H29" s="822"/>
      <c r="I29" s="822"/>
      <c r="J29" s="822"/>
      <c r="K29" s="822"/>
      <c r="L29" s="822"/>
      <c r="M29" s="822"/>
      <c r="N29" s="822"/>
      <c r="O29" s="822"/>
      <c r="P29" s="822"/>
      <c r="Q29" s="823"/>
      <c r="R29" s="824"/>
      <c r="S29" s="825"/>
      <c r="T29" s="544" t="s">
        <v>530</v>
      </c>
      <c r="U29" s="2115">
        <v>1</v>
      </c>
      <c r="V29" s="2115" t="s">
        <v>493</v>
      </c>
      <c r="W29" s="1406"/>
      <c r="X29" s="1406"/>
      <c r="Y29" s="1406"/>
      <c r="Z29" s="1406"/>
      <c r="AA29" s="1406"/>
      <c r="AB29" s="1406"/>
      <c r="AC29" s="820"/>
      <c r="AD29" s="821"/>
      <c r="AE29" s="1406"/>
      <c r="AF29" s="1406"/>
      <c r="AG29" s="1406"/>
      <c r="AH29" s="1406"/>
      <c r="AI29" s="1406"/>
      <c r="AJ29" s="1406"/>
      <c r="AK29" s="1406"/>
      <c r="AL29" s="1406"/>
      <c r="AM29" s="1406"/>
      <c r="AN29" s="1406"/>
      <c r="AO29" s="1406"/>
      <c r="AP29" s="1406"/>
      <c r="AQ29" s="1406"/>
      <c r="AR29" s="1406"/>
      <c r="AS29" s="1406"/>
      <c r="AT29" s="1406"/>
      <c r="AU29" s="1406"/>
      <c r="AV29" s="1406"/>
      <c r="AW29" s="1406"/>
      <c r="AX29" s="1406"/>
      <c r="AY29" s="1406"/>
      <c r="AZ29" s="1406"/>
      <c r="BA29" s="1406"/>
      <c r="BB29" s="1406"/>
      <c r="BC29" s="1406"/>
      <c r="BD29" s="1406"/>
      <c r="BE29" s="1406"/>
      <c r="BF29" s="1406"/>
      <c r="BG29" s="1406"/>
      <c r="BH29" s="1406"/>
      <c r="BI29" s="1406"/>
      <c r="BJ29" s="1406"/>
      <c r="BK29" s="1406"/>
      <c r="BL29" s="1406"/>
      <c r="BM29" s="1406"/>
      <c r="BN29" s="1406"/>
      <c r="BO29" s="1406"/>
      <c r="BP29" s="1406"/>
      <c r="BQ29" s="1406"/>
      <c r="BR29" s="1406"/>
      <c r="BS29" s="1406"/>
      <c r="BT29" s="1406"/>
      <c r="BU29" s="1406"/>
      <c r="BV29" s="1406"/>
      <c r="BW29" s="1406"/>
      <c r="BX29" s="1406"/>
      <c r="BY29" s="1406"/>
      <c r="BZ29" s="1406"/>
      <c r="CA29" s="1406"/>
      <c r="CB29" s="1406"/>
      <c r="CC29" s="1406"/>
      <c r="CD29" s="1406"/>
      <c r="CE29" s="1406"/>
    </row>
    <row r="30" spans="1:83" ht="5.25" hidden="1" customHeight="1">
      <c r="A30" s="1525"/>
      <c r="B30" s="1406"/>
      <c r="C30" s="1406"/>
      <c r="D30" s="2203"/>
      <c r="E30" s="476"/>
      <c r="F30" s="476"/>
      <c r="G30" s="476"/>
      <c r="H30" s="476"/>
      <c r="I30" s="476"/>
      <c r="J30" s="476"/>
      <c r="K30" s="476"/>
      <c r="L30" s="476"/>
      <c r="M30" s="476"/>
      <c r="N30" s="476"/>
      <c r="O30" s="476"/>
      <c r="P30" s="476"/>
      <c r="Q30" s="476"/>
      <c r="R30" s="476"/>
      <c r="S30" s="477"/>
      <c r="T30" s="545"/>
      <c r="U30" s="2115"/>
      <c r="V30" s="2115"/>
      <c r="W30" s="1406"/>
      <c r="X30" s="1406"/>
      <c r="Y30" s="1406"/>
      <c r="Z30" s="1406"/>
      <c r="AA30" s="1406"/>
      <c r="AB30" s="1406"/>
      <c r="AC30" s="820"/>
      <c r="AD30" s="821"/>
      <c r="AE30" s="1406"/>
      <c r="AF30" s="1406"/>
      <c r="AG30" s="1406"/>
      <c r="AH30" s="1406"/>
      <c r="AI30" s="1406"/>
      <c r="AJ30" s="1406"/>
      <c r="AK30" s="1406"/>
      <c r="AL30" s="1406"/>
      <c r="AM30" s="1406"/>
      <c r="AN30" s="1406"/>
      <c r="AO30" s="1406"/>
      <c r="AP30" s="1406"/>
      <c r="AQ30" s="1406"/>
      <c r="AR30" s="1406"/>
      <c r="AS30" s="1406"/>
      <c r="AT30" s="1406"/>
      <c r="AU30" s="1406"/>
      <c r="AV30" s="1406"/>
      <c r="AW30" s="1406"/>
      <c r="AX30" s="1406"/>
      <c r="AY30" s="1406"/>
      <c r="AZ30" s="1406"/>
      <c r="BA30" s="1406"/>
      <c r="BB30" s="1406"/>
      <c r="BC30" s="1406"/>
      <c r="BD30" s="1406"/>
      <c r="BE30" s="1406"/>
      <c r="BF30" s="1406"/>
      <c r="BG30" s="1406"/>
      <c r="BH30" s="1406"/>
      <c r="BI30" s="1406"/>
      <c r="BJ30" s="1406"/>
      <c r="BK30" s="1406"/>
      <c r="BL30" s="1406"/>
      <c r="BM30" s="1406"/>
      <c r="BN30" s="1406"/>
      <c r="BO30" s="1406"/>
      <c r="BP30" s="1406"/>
      <c r="BQ30" s="1406"/>
      <c r="BR30" s="1406"/>
      <c r="BS30" s="1406"/>
      <c r="BT30" s="1406"/>
      <c r="BU30" s="1406"/>
      <c r="BV30" s="1406"/>
      <c r="BW30" s="1406"/>
      <c r="BX30" s="1406"/>
      <c r="BY30" s="1406"/>
      <c r="BZ30" s="1406"/>
      <c r="CA30" s="1406"/>
      <c r="CB30" s="1406"/>
      <c r="CC30" s="1406"/>
      <c r="CD30" s="1406"/>
      <c r="CE30" s="1406"/>
    </row>
    <row r="31" spans="1:83" ht="5.25" hidden="1" customHeight="1">
      <c r="A31" s="1525"/>
      <c r="B31" s="1406"/>
      <c r="C31" s="1406"/>
      <c r="D31" s="2204"/>
      <c r="E31" s="826"/>
      <c r="F31" s="827"/>
      <c r="G31" s="827"/>
      <c r="H31" s="828"/>
      <c r="I31" s="828"/>
      <c r="J31" s="828"/>
      <c r="K31" s="828"/>
      <c r="L31" s="828"/>
      <c r="M31" s="828"/>
      <c r="N31" s="828"/>
      <c r="O31" s="828"/>
      <c r="P31" s="828"/>
      <c r="Q31" s="828"/>
      <c r="R31" s="731"/>
      <c r="S31" s="829"/>
      <c r="T31" s="545"/>
      <c r="U31" s="2115"/>
      <c r="V31" s="2115"/>
      <c r="W31" s="1406"/>
      <c r="X31" s="1406"/>
      <c r="Y31" s="1406"/>
      <c r="Z31" s="1406"/>
      <c r="AA31" s="1406"/>
      <c r="AB31" s="1406"/>
      <c r="AC31" s="820"/>
      <c r="AD31" s="821"/>
      <c r="AE31" s="1406"/>
      <c r="AF31" s="1406"/>
      <c r="AG31" s="1406"/>
      <c r="AH31" s="1406"/>
      <c r="AI31" s="1406"/>
      <c r="AJ31" s="1406"/>
      <c r="AK31" s="1406"/>
      <c r="AL31" s="1406"/>
      <c r="AM31" s="1406"/>
      <c r="AN31" s="1406"/>
      <c r="AO31" s="1406"/>
      <c r="AP31" s="1406"/>
      <c r="AQ31" s="1406"/>
      <c r="AR31" s="1406"/>
      <c r="AS31" s="1406"/>
      <c r="AT31" s="1406"/>
      <c r="AU31" s="1406"/>
      <c r="AV31" s="1406"/>
      <c r="AW31" s="1406"/>
      <c r="AX31" s="1406"/>
      <c r="AY31" s="1406"/>
      <c r="AZ31" s="1406"/>
      <c r="BA31" s="1406"/>
      <c r="BB31" s="1406"/>
      <c r="BC31" s="1406"/>
      <c r="BD31" s="1406"/>
      <c r="BE31" s="1406"/>
      <c r="BF31" s="1406"/>
      <c r="BG31" s="1406"/>
      <c r="BH31" s="1406"/>
      <c r="BI31" s="1406"/>
      <c r="BJ31" s="1406"/>
      <c r="BK31" s="1406"/>
      <c r="BL31" s="1406"/>
      <c r="BM31" s="1406"/>
      <c r="BN31" s="1406"/>
      <c r="BO31" s="1406"/>
      <c r="BP31" s="1406"/>
      <c r="BQ31" s="1406"/>
      <c r="BR31" s="1406"/>
      <c r="BS31" s="1406"/>
      <c r="BT31" s="1406"/>
      <c r="BU31" s="1406"/>
      <c r="BV31" s="1406"/>
      <c r="BW31" s="1406"/>
      <c r="BX31" s="1406"/>
      <c r="BY31" s="1406"/>
      <c r="BZ31" s="1406"/>
      <c r="CA31" s="1406"/>
      <c r="CB31" s="1406"/>
      <c r="CC31" s="1406"/>
      <c r="CD31" s="1406"/>
      <c r="CE31" s="1406"/>
    </row>
    <row r="32" spans="1:83" ht="18.75" customHeight="1">
      <c r="D32" s="830"/>
      <c r="E32" s="830"/>
      <c r="F32" s="830"/>
      <c r="G32" s="830"/>
      <c r="H32" s="830"/>
      <c r="I32" s="830"/>
      <c r="J32" s="830"/>
      <c r="K32" s="830"/>
      <c r="L32" s="830"/>
      <c r="M32" s="830"/>
      <c r="N32" s="830"/>
      <c r="O32" s="830"/>
      <c r="P32" s="830"/>
      <c r="Q32" s="830"/>
      <c r="R32" s="830"/>
      <c r="S32" s="830"/>
      <c r="T32" s="217"/>
    </row>
    <row r="33" spans="4:18" ht="11.25" customHeight="1">
      <c r="D33" s="377"/>
    </row>
    <row r="34" spans="4:18" ht="11.25" customHeight="1">
      <c r="D34" s="495"/>
      <c r="E34" s="495"/>
      <c r="F34" s="495"/>
      <c r="G34" s="496"/>
    </row>
    <row r="36" spans="4:18" ht="11.25" customHeight="1">
      <c r="D36" s="497"/>
      <c r="E36" s="2200"/>
      <c r="F36" s="2200"/>
      <c r="G36" s="2200"/>
      <c r="H36" s="2200"/>
      <c r="I36" s="2200"/>
      <c r="J36" s="2200"/>
      <c r="K36" s="2200"/>
      <c r="L36" s="2200"/>
      <c r="M36" s="2200"/>
      <c r="N36" s="2200"/>
      <c r="O36" s="2200"/>
      <c r="P36" s="2200"/>
      <c r="Q36" s="2200"/>
      <c r="R36" s="2200"/>
    </row>
    <row r="37" spans="4:18" ht="11.25" customHeight="1">
      <c r="F37" s="582"/>
      <c r="G37" s="582"/>
    </row>
  </sheetData>
  <sheetProtection formatColumns="0" formatRows="0" insertRows="0" deleteColumns="0" deleteRows="0" sort="0" autoFilter="0"/>
  <mergeCells count="35">
    <mergeCell ref="U29:U31"/>
    <mergeCell ref="V29:V31"/>
    <mergeCell ref="U26:U28"/>
    <mergeCell ref="V26:V28"/>
    <mergeCell ref="AC14:AC19"/>
    <mergeCell ref="U17:U19"/>
    <mergeCell ref="V17:V19"/>
    <mergeCell ref="AC23:AC28"/>
    <mergeCell ref="V20:V22"/>
    <mergeCell ref="D14:D22"/>
    <mergeCell ref="H14:R14"/>
    <mergeCell ref="H15:R15"/>
    <mergeCell ref="H16:R16"/>
    <mergeCell ref="E36:R36"/>
    <mergeCell ref="E20:P20"/>
    <mergeCell ref="D23:D31"/>
    <mergeCell ref="E23:G23"/>
    <mergeCell ref="H23:R23"/>
    <mergeCell ref="E25:G25"/>
    <mergeCell ref="H25:R25"/>
    <mergeCell ref="E26:P26"/>
    <mergeCell ref="E17:P17"/>
    <mergeCell ref="E14:G14"/>
    <mergeCell ref="E15:G15"/>
    <mergeCell ref="E16:G16"/>
    <mergeCell ref="E5:K5"/>
    <mergeCell ref="E6:K6"/>
    <mergeCell ref="E9:R9"/>
    <mergeCell ref="E24:G24"/>
    <mergeCell ref="H24:R24"/>
    <mergeCell ref="S9:S10"/>
    <mergeCell ref="E10:F10"/>
    <mergeCell ref="H10:I10"/>
    <mergeCell ref="L10:M10"/>
    <mergeCell ref="U20:U2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9" tint="-0.249977111117893"/>
  </sheetPr>
  <dimension ref="A1:AE218"/>
  <sheetViews>
    <sheetView showGridLines="0" topLeftCell="D5" zoomScale="90" workbookViewId="0"/>
  </sheetViews>
  <sheetFormatPr defaultColWidth="9.140625" defaultRowHeight="11.25" customHeight="1"/>
  <cols>
    <col min="1" max="1" width="10.7109375" style="1714" hidden="1" customWidth="1"/>
    <col min="2" max="2" width="16.85546875" style="1687" hidden="1" customWidth="1"/>
    <col min="3" max="3" width="5.5703125" style="1710" hidden="1" customWidth="1"/>
    <col min="4" max="4" width="3.7109375" style="1753" customWidth="1"/>
    <col min="5" max="5" width="7.7109375" style="1664" customWidth="1"/>
    <col min="6" max="6" width="56.140625" style="1664" customWidth="1"/>
    <col min="7" max="7" width="10.42578125" style="1664" customWidth="1"/>
    <col min="8" max="8" width="40.7109375" style="1664" hidden="1" customWidth="1"/>
    <col min="9" max="9" width="40.7109375" style="1664" customWidth="1"/>
    <col min="10" max="10" width="102.85546875" style="1664" customWidth="1"/>
    <col min="11" max="11" width="9.7109375" style="1687" customWidth="1"/>
    <col min="12" max="12" width="5.28515625" style="1710" customWidth="1"/>
    <col min="13" max="13" width="3.7109375" style="1710" customWidth="1"/>
    <col min="14" max="17" width="3.7109375" style="1687" customWidth="1"/>
    <col min="18" max="18" width="10.5703125" style="1710" customWidth="1"/>
    <col min="19" max="19" width="34.7109375" style="1687" customWidth="1"/>
    <col min="20" max="20" width="9.42578125" style="1687" customWidth="1"/>
    <col min="21" max="21" width="9.140625" style="1716"/>
    <col min="22" max="26" width="9.140625" style="1687"/>
    <col min="27" max="31" width="9.140625" style="1663"/>
  </cols>
  <sheetData>
    <row r="1" spans="1:31" s="1687" customFormat="1" ht="11.25" hidden="1" customHeight="1">
      <c r="A1" s="771"/>
      <c r="C1" s="1406"/>
      <c r="D1" s="395"/>
      <c r="H1" s="929">
        <v>4</v>
      </c>
      <c r="I1" s="929">
        <v>4</v>
      </c>
      <c r="L1" s="1406"/>
      <c r="M1" s="1406"/>
      <c r="R1" s="1406"/>
    </row>
    <row r="2" spans="1:31" s="1687" customFormat="1" ht="22.5" hidden="1" customHeight="1">
      <c r="A2" s="771"/>
      <c r="C2" s="1406"/>
      <c r="D2" s="396"/>
      <c r="E2" s="1407"/>
      <c r="F2" s="398"/>
      <c r="G2" s="1409" t="s">
        <v>470</v>
      </c>
      <c r="H2" s="399"/>
      <c r="I2" s="399"/>
      <c r="J2" s="400" t="s">
        <v>534</v>
      </c>
      <c r="K2" s="401"/>
      <c r="L2" s="1406"/>
      <c r="M2" s="1406"/>
      <c r="R2" s="1406"/>
      <c r="U2" s="402"/>
      <c r="AA2" s="1402"/>
      <c r="AB2" s="1402"/>
      <c r="AC2" s="1402"/>
      <c r="AD2" s="1402"/>
      <c r="AE2" s="1402"/>
    </row>
    <row r="3" spans="1:31" ht="11.25" hidden="1" customHeight="1"/>
    <row r="4" spans="1:31" s="1663" customFormat="1" ht="11.25" hidden="1" customHeight="1">
      <c r="A4" s="771"/>
      <c r="B4" s="929"/>
      <c r="C4" s="1406"/>
      <c r="D4" s="245"/>
      <c r="J4" s="1402">
        <v>4</v>
      </c>
      <c r="K4" s="929"/>
      <c r="L4" s="1406"/>
      <c r="M4" s="1406"/>
      <c r="N4" s="929"/>
      <c r="O4" s="929"/>
      <c r="P4" s="929"/>
      <c r="Q4" s="929"/>
      <c r="R4" s="1406"/>
      <c r="S4" s="929"/>
      <c r="T4" s="929"/>
      <c r="U4" s="402"/>
      <c r="V4" s="929"/>
      <c r="W4" s="929"/>
      <c r="X4" s="929"/>
      <c r="Y4" s="929"/>
      <c r="Z4" s="929"/>
    </row>
    <row r="6" spans="1:31" ht="22.5" customHeight="1">
      <c r="E6" s="2035" t="s">
        <v>535</v>
      </c>
      <c r="F6" s="2035"/>
      <c r="G6" s="2035"/>
      <c r="H6" s="2035"/>
      <c r="I6" s="2035"/>
      <c r="J6" s="414"/>
    </row>
    <row r="7" spans="1:31" ht="24" customHeight="1">
      <c r="E7" s="2059" t="e">
        <f>IF(org=0,"Не определено",org)</f>
        <v>#REF!</v>
      </c>
      <c r="F7" s="2059"/>
      <c r="G7" s="2059"/>
      <c r="H7" s="2059"/>
      <c r="I7" s="2059"/>
    </row>
    <row r="8" spans="1:31" ht="11.25" customHeight="1">
      <c r="E8" s="907"/>
      <c r="F8" s="907"/>
      <c r="G8" s="907"/>
      <c r="H8" s="907"/>
      <c r="I8" s="907"/>
    </row>
    <row r="9" spans="1:31" s="1710" customFormat="1" ht="0.75" customHeight="1">
      <c r="A9" s="935"/>
      <c r="D9" s="1411"/>
      <c r="H9" s="678"/>
      <c r="I9" s="678" t="s">
        <v>51</v>
      </c>
    </row>
    <row r="10" spans="1:31" ht="11.25" customHeight="1">
      <c r="E10" s="538"/>
      <c r="F10" s="2189" t="s">
        <v>39</v>
      </c>
      <c r="G10" s="2190"/>
      <c r="H10" s="1330" t="str">
        <f>IF(H9="","",INDEX(DIFFERENTIATION_UNMERGE_VD,MATCH(H9,DIFFERENTIATION_ID_DIFF,0)))</f>
        <v/>
      </c>
      <c r="I10" s="1330" t="e">
        <f>IF(I9="","",INDEX(DIFFERENTIATION_UNMERGE_VD,MATCH(I9,DIFFERENTIATION_ID_DIFF,0)))</f>
        <v>#REF!</v>
      </c>
      <c r="J10" s="2025"/>
    </row>
    <row r="11" spans="1:31" ht="11.25" customHeight="1">
      <c r="E11" s="538"/>
      <c r="F11" s="2189" t="s">
        <v>482</v>
      </c>
      <c r="G11" s="2190"/>
      <c r="H11" s="1330" t="str">
        <f>IF(H9="","",INDEX(DIFFERENTIATION_UNMERGE_AREA,MATCH(H9,DIFFERENTIATION_ID_DIFF,0)))</f>
        <v/>
      </c>
      <c r="I11" s="1330" t="e">
        <f>IF(I9="","",INDEX(DIFFERENTIATION_UNMERGE_AREA,MATCH(I9,DIFFERENTIATION_ID_DIFF,0)))</f>
        <v>#REF!</v>
      </c>
      <c r="J11" s="2025"/>
    </row>
    <row r="12" spans="1:31" ht="11.25" hidden="1" customHeight="1">
      <c r="E12" s="1431"/>
      <c r="F12" s="2206" t="s">
        <v>483</v>
      </c>
      <c r="G12" s="2207"/>
      <c r="H12" s="1432" t="str">
        <f>IF(H9="","",INDEX(DIFFERENTIATION_UNMERGE_SYSTEM,MATCH(H9,DIFFERENTIATION_ID_DIFF,0)))</f>
        <v/>
      </c>
      <c r="I12" s="1432" t="e">
        <f>IF(I9="","",INDEX(DIFFERENTIATION_UNMERGE_SYSTEM,MATCH(I9,DIFFERENTIATION_ID_DIFF,0)))</f>
        <v>#REF!</v>
      </c>
      <c r="J12" s="2025"/>
    </row>
    <row r="13" spans="1:31" ht="11.25" customHeight="1">
      <c r="E13" s="2191" t="s">
        <v>224</v>
      </c>
      <c r="F13" s="2192"/>
      <c r="G13" s="2192"/>
      <c r="H13" s="1329"/>
      <c r="I13" s="1329"/>
      <c r="J13" s="2025"/>
    </row>
    <row r="14" spans="1:31" ht="22.5" customHeight="1">
      <c r="E14" s="1409" t="s">
        <v>22</v>
      </c>
      <c r="F14" s="1404" t="s">
        <v>226</v>
      </c>
      <c r="G14" s="1404" t="s">
        <v>484</v>
      </c>
      <c r="H14" s="1404" t="s">
        <v>227</v>
      </c>
      <c r="I14" s="1404" t="s">
        <v>227</v>
      </c>
      <c r="J14" s="2025"/>
    </row>
    <row r="15" spans="1:31" ht="18.75" customHeight="1">
      <c r="D15" s="1408"/>
      <c r="E15" s="1400" t="s">
        <v>43</v>
      </c>
      <c r="F15" s="535" t="s">
        <v>536</v>
      </c>
      <c r="G15" s="1415" t="s">
        <v>470</v>
      </c>
      <c r="H15" s="415"/>
      <c r="I15" s="415"/>
      <c r="J15" s="165" t="s">
        <v>537</v>
      </c>
      <c r="K15" s="401" t="s">
        <v>538</v>
      </c>
    </row>
    <row r="16" spans="1:31" ht="33.75" customHeight="1">
      <c r="D16" s="1408"/>
      <c r="E16" s="1400" t="s">
        <v>44</v>
      </c>
      <c r="F16" s="535" t="s">
        <v>539</v>
      </c>
      <c r="G16" s="1415" t="s">
        <v>470</v>
      </c>
      <c r="H16" s="416">
        <f>SUM(H17,H20:H32)</f>
        <v>0</v>
      </c>
      <c r="I16" s="416">
        <f>SUM(I17,I20:I32)</f>
        <v>0</v>
      </c>
      <c r="J16" s="165" t="s">
        <v>540</v>
      </c>
      <c r="K16" s="401" t="s">
        <v>538</v>
      </c>
    </row>
    <row r="17" spans="1:31" ht="18.75" customHeight="1">
      <c r="D17" s="1408"/>
      <c r="E17" s="1433" t="s">
        <v>541</v>
      </c>
      <c r="F17" s="739" t="s">
        <v>542</v>
      </c>
      <c r="G17" s="1412" t="s">
        <v>470</v>
      </c>
      <c r="H17" s="415"/>
      <c r="I17" s="415"/>
      <c r="J17" s="165" t="s">
        <v>543</v>
      </c>
      <c r="K17" s="401"/>
    </row>
    <row r="18" spans="1:31" ht="22.5" customHeight="1">
      <c r="D18" s="1408"/>
      <c r="E18" s="1433" t="s">
        <v>544</v>
      </c>
      <c r="F18" s="1419" t="s">
        <v>545</v>
      </c>
      <c r="G18" s="1412" t="s">
        <v>470</v>
      </c>
      <c r="H18" s="415"/>
      <c r="I18" s="415"/>
      <c r="J18" s="165" t="s">
        <v>546</v>
      </c>
      <c r="K18" s="401"/>
    </row>
    <row r="19" spans="1:31" ht="33.75" customHeight="1">
      <c r="D19" s="1408"/>
      <c r="E19" s="1433" t="s">
        <v>547</v>
      </c>
      <c r="F19" s="1419" t="s">
        <v>548</v>
      </c>
      <c r="G19" s="1412" t="s">
        <v>470</v>
      </c>
      <c r="H19" s="415"/>
      <c r="I19" s="415"/>
      <c r="J19" s="165"/>
      <c r="K19" s="401"/>
    </row>
    <row r="20" spans="1:31" ht="18.75" customHeight="1">
      <c r="D20" s="1408"/>
      <c r="E20" s="1433" t="s">
        <v>231</v>
      </c>
      <c r="F20" s="739" t="s">
        <v>549</v>
      </c>
      <c r="G20" s="1412" t="s">
        <v>470</v>
      </c>
      <c r="H20" s="415"/>
      <c r="I20" s="415"/>
      <c r="J20" s="165" t="s">
        <v>550</v>
      </c>
      <c r="K20" s="401"/>
    </row>
    <row r="21" spans="1:31" ht="18.75" customHeight="1">
      <c r="D21" s="1408"/>
      <c r="E21" s="1433" t="s">
        <v>551</v>
      </c>
      <c r="F21" s="1419" t="s">
        <v>552</v>
      </c>
      <c r="G21" s="1412" t="s">
        <v>470</v>
      </c>
      <c r="H21" s="415"/>
      <c r="I21" s="415"/>
      <c r="J21" s="165"/>
      <c r="K21" s="401"/>
    </row>
    <row r="22" spans="1:31" ht="18.75" customHeight="1">
      <c r="D22" s="1408"/>
      <c r="E22" s="1433" t="s">
        <v>553</v>
      </c>
      <c r="F22" s="1419" t="s">
        <v>554</v>
      </c>
      <c r="G22" s="1412" t="s">
        <v>470</v>
      </c>
      <c r="H22" s="415"/>
      <c r="I22" s="415"/>
      <c r="J22" s="165"/>
      <c r="K22" s="401"/>
    </row>
    <row r="23" spans="1:31" ht="22.5" customHeight="1">
      <c r="D23" s="1408"/>
      <c r="E23" s="1433" t="s">
        <v>234</v>
      </c>
      <c r="F23" s="739" t="s">
        <v>555</v>
      </c>
      <c r="G23" s="1412" t="s">
        <v>470</v>
      </c>
      <c r="H23" s="415"/>
      <c r="I23" s="415"/>
      <c r="J23" s="165" t="s">
        <v>556</v>
      </c>
      <c r="K23" s="401"/>
    </row>
    <row r="24" spans="1:31" ht="18.75" customHeight="1">
      <c r="D24" s="1408"/>
      <c r="E24" s="1433" t="s">
        <v>557</v>
      </c>
      <c r="F24" s="1419" t="s">
        <v>558</v>
      </c>
      <c r="G24" s="1412" t="s">
        <v>470</v>
      </c>
      <c r="H24" s="415"/>
      <c r="I24" s="415"/>
      <c r="J24" s="165"/>
      <c r="K24" s="401"/>
    </row>
    <row r="25" spans="1:31" ht="33.75" customHeight="1">
      <c r="D25" s="1408"/>
      <c r="E25" s="1433" t="s">
        <v>559</v>
      </c>
      <c r="F25" s="1419" t="s">
        <v>560</v>
      </c>
      <c r="G25" s="1412" t="s">
        <v>470</v>
      </c>
      <c r="H25" s="415"/>
      <c r="I25" s="415"/>
      <c r="J25" s="165"/>
      <c r="K25" s="401"/>
    </row>
    <row r="26" spans="1:31" ht="22.5" customHeight="1">
      <c r="D26" s="1408"/>
      <c r="E26" s="1433" t="s">
        <v>561</v>
      </c>
      <c r="F26" s="739" t="s">
        <v>562</v>
      </c>
      <c r="G26" s="1412" t="s">
        <v>470</v>
      </c>
      <c r="H26" s="415"/>
      <c r="I26" s="415"/>
      <c r="J26" s="165" t="s">
        <v>563</v>
      </c>
      <c r="K26" s="401"/>
    </row>
    <row r="27" spans="1:31" ht="18.75" customHeight="1">
      <c r="D27" s="1408"/>
      <c r="E27" s="1443" t="s">
        <v>564</v>
      </c>
      <c r="F27" s="1419" t="s">
        <v>565</v>
      </c>
      <c r="G27" s="1423" t="s">
        <v>470</v>
      </c>
      <c r="H27" s="1444"/>
      <c r="I27" s="1444"/>
      <c r="J27" s="165"/>
      <c r="K27" s="401"/>
    </row>
    <row r="28" spans="1:31" ht="18.75" customHeight="1">
      <c r="D28" s="1408"/>
      <c r="E28" s="1443" t="s">
        <v>566</v>
      </c>
      <c r="F28" s="1419" t="s">
        <v>567</v>
      </c>
      <c r="G28" s="1423" t="s">
        <v>470</v>
      </c>
      <c r="H28" s="1444"/>
      <c r="I28" s="1444"/>
      <c r="J28" s="165"/>
      <c r="K28" s="401"/>
    </row>
    <row r="29" spans="1:31" ht="18.75" customHeight="1">
      <c r="D29" s="1408"/>
      <c r="E29" s="1443" t="s">
        <v>568</v>
      </c>
      <c r="F29" s="739" t="s">
        <v>569</v>
      </c>
      <c r="G29" s="1423" t="s">
        <v>470</v>
      </c>
      <c r="H29" s="1444"/>
      <c r="I29" s="1444"/>
      <c r="J29" s="165"/>
      <c r="K29" s="401"/>
    </row>
    <row r="30" spans="1:31" ht="18.75" customHeight="1">
      <c r="D30" s="1408"/>
      <c r="E30" s="1443" t="s">
        <v>570</v>
      </c>
      <c r="F30" s="739" t="s">
        <v>571</v>
      </c>
      <c r="G30" s="1423" t="s">
        <v>470</v>
      </c>
      <c r="H30" s="1444"/>
      <c r="I30" s="1444"/>
      <c r="J30" s="165"/>
      <c r="K30" s="401"/>
    </row>
    <row r="31" spans="1:31" ht="18.75" customHeight="1">
      <c r="D31" s="1408"/>
      <c r="E31" s="1443" t="s">
        <v>572</v>
      </c>
      <c r="F31" s="739" t="s">
        <v>573</v>
      </c>
      <c r="G31" s="1423" t="s">
        <v>470</v>
      </c>
      <c r="H31" s="1444"/>
      <c r="I31" s="1444"/>
      <c r="J31" s="165"/>
      <c r="K31" s="401"/>
    </row>
    <row r="32" spans="1:31" s="1687" customFormat="1" ht="22.5" customHeight="1">
      <c r="A32" s="771"/>
      <c r="C32" s="1406"/>
      <c r="D32" s="1408"/>
      <c r="E32" s="1443" t="s">
        <v>574</v>
      </c>
      <c r="F32" s="739" t="s">
        <v>575</v>
      </c>
      <c r="G32" s="1413" t="s">
        <v>470</v>
      </c>
      <c r="H32" s="437">
        <f>SUM(H33:H34)</f>
        <v>0</v>
      </c>
      <c r="I32" s="437">
        <f>SUM(I33:I34)</f>
        <v>0</v>
      </c>
      <c r="J32" s="165" t="s">
        <v>576</v>
      </c>
      <c r="K32" s="401"/>
      <c r="L32" s="1406"/>
      <c r="M32" s="1406"/>
      <c r="R32" s="1406"/>
      <c r="U32" s="402"/>
      <c r="AA32" s="1402"/>
      <c r="AB32" s="1402"/>
      <c r="AC32" s="1402"/>
      <c r="AD32" s="1402"/>
      <c r="AE32" s="1402"/>
    </row>
    <row r="33" spans="1:31" s="1710" customFormat="1" ht="0.75" customHeight="1">
      <c r="A33" s="935"/>
      <c r="D33" s="406"/>
      <c r="E33" s="611" t="str">
        <f>E32&amp;".0"</f>
        <v>2.8.0</v>
      </c>
      <c r="F33" s="775"/>
      <c r="G33" s="409"/>
      <c r="H33" s="776"/>
      <c r="I33" s="776"/>
      <c r="J33" s="777"/>
    </row>
    <row r="34" spans="1:31" s="1687" customFormat="1" ht="18.75" customHeight="1">
      <c r="A34" s="771"/>
      <c r="C34" s="1406"/>
      <c r="D34" s="1403"/>
      <c r="E34" s="428"/>
      <c r="F34" s="1435" t="s">
        <v>495</v>
      </c>
      <c r="G34" s="430"/>
      <c r="H34" s="431"/>
      <c r="I34" s="431"/>
      <c r="J34" s="176" t="s">
        <v>577</v>
      </c>
      <c r="K34" s="401"/>
      <c r="L34" s="1406"/>
      <c r="M34" s="1406"/>
      <c r="R34" s="1406"/>
      <c r="U34" s="402"/>
      <c r="AA34" s="1402"/>
      <c r="AB34" s="1402"/>
      <c r="AC34" s="1402"/>
      <c r="AD34" s="1402"/>
      <c r="AE34" s="1402"/>
    </row>
    <row r="35" spans="1:31" ht="56.25" customHeight="1">
      <c r="D35" s="1408"/>
      <c r="E35" s="1443" t="s">
        <v>578</v>
      </c>
      <c r="F35" s="739" t="s">
        <v>579</v>
      </c>
      <c r="G35" s="1423" t="s">
        <v>470</v>
      </c>
      <c r="H35" s="1444"/>
      <c r="I35" s="1444"/>
      <c r="J35" s="165" t="s">
        <v>580</v>
      </c>
      <c r="K35" s="401"/>
    </row>
    <row r="36" spans="1:31" s="1687" customFormat="1" ht="22.5" customHeight="1">
      <c r="A36" s="773" t="s">
        <v>496</v>
      </c>
      <c r="C36" s="1406"/>
      <c r="D36" s="1408"/>
      <c r="E36" s="1433" t="s">
        <v>24</v>
      </c>
      <c r="F36" s="535" t="s">
        <v>581</v>
      </c>
      <c r="G36" s="1412" t="s">
        <v>470</v>
      </c>
      <c r="H36" s="415"/>
      <c r="I36" s="415"/>
      <c r="J36" s="165" t="s">
        <v>582</v>
      </c>
      <c r="K36" s="401"/>
      <c r="L36" s="1406"/>
      <c r="M36" s="1406"/>
      <c r="R36" s="1406"/>
      <c r="U36" s="402"/>
      <c r="AA36" s="1402"/>
      <c r="AB36" s="1402"/>
      <c r="AC36" s="1402"/>
      <c r="AD36" s="1402"/>
      <c r="AE36" s="1402"/>
    </row>
    <row r="37" spans="1:31" s="1687" customFormat="1" ht="22.5" customHeight="1">
      <c r="A37" s="773"/>
      <c r="C37" s="1406"/>
      <c r="D37" s="1408"/>
      <c r="E37" s="1433" t="s">
        <v>250</v>
      </c>
      <c r="F37" s="739" t="s">
        <v>583</v>
      </c>
      <c r="G37" s="1423"/>
      <c r="H37" s="415"/>
      <c r="I37" s="415"/>
      <c r="J37" s="165"/>
      <c r="K37" s="401"/>
      <c r="L37" s="1406"/>
      <c r="M37" s="1406"/>
      <c r="R37" s="1406"/>
      <c r="U37" s="402"/>
      <c r="AA37" s="1402"/>
      <c r="AB37" s="1402"/>
      <c r="AC37" s="1402"/>
      <c r="AD37" s="1402"/>
      <c r="AE37" s="1402"/>
    </row>
    <row r="38" spans="1:31" s="1687" customFormat="1" ht="18.75" customHeight="1">
      <c r="A38" s="771"/>
      <c r="C38" s="1406"/>
      <c r="D38" s="433"/>
      <c r="E38" s="1433" t="s">
        <v>25</v>
      </c>
      <c r="F38" s="535" t="s">
        <v>584</v>
      </c>
      <c r="G38" s="1412" t="s">
        <v>470</v>
      </c>
      <c r="H38" s="415"/>
      <c r="I38" s="415"/>
      <c r="J38" s="165" t="s">
        <v>585</v>
      </c>
      <c r="K38" s="401"/>
      <c r="L38" s="1406"/>
      <c r="M38" s="1406"/>
      <c r="R38" s="1406"/>
      <c r="U38" s="402"/>
      <c r="AA38" s="1402"/>
      <c r="AB38" s="1402"/>
      <c r="AC38" s="1402"/>
      <c r="AD38" s="1402"/>
      <c r="AE38" s="1402"/>
    </row>
    <row r="39" spans="1:31" s="1687" customFormat="1" ht="22.5" customHeight="1">
      <c r="A39" s="771"/>
      <c r="C39" s="1406"/>
      <c r="D39" s="433"/>
      <c r="E39" s="1433" t="s">
        <v>586</v>
      </c>
      <c r="F39" s="739" t="s">
        <v>587</v>
      </c>
      <c r="G39" s="1423" t="s">
        <v>470</v>
      </c>
      <c r="H39" s="415"/>
      <c r="I39" s="415"/>
      <c r="J39" s="165" t="s">
        <v>588</v>
      </c>
      <c r="K39" s="401"/>
      <c r="L39" s="1406"/>
      <c r="M39" s="1406"/>
      <c r="R39" s="1406"/>
      <c r="U39" s="402"/>
      <c r="AA39" s="1402"/>
      <c r="AB39" s="1402"/>
      <c r="AC39" s="1402"/>
      <c r="AD39" s="1402"/>
      <c r="AE39" s="1402"/>
    </row>
    <row r="40" spans="1:31" s="1687" customFormat="1" ht="22.5" customHeight="1">
      <c r="A40" s="771"/>
      <c r="C40" s="1406"/>
      <c r="D40" s="1408"/>
      <c r="E40" s="1433" t="s">
        <v>589</v>
      </c>
      <c r="F40" s="1419" t="s">
        <v>590</v>
      </c>
      <c r="G40" s="1412" t="s">
        <v>470</v>
      </c>
      <c r="H40" s="415"/>
      <c r="I40" s="415"/>
      <c r="J40" s="165" t="s">
        <v>591</v>
      </c>
      <c r="K40" s="401"/>
      <c r="L40" s="1406"/>
      <c r="M40" s="1406"/>
      <c r="R40" s="1406"/>
      <c r="U40" s="402"/>
      <c r="AA40" s="1402"/>
      <c r="AB40" s="1402"/>
      <c r="AC40" s="1402"/>
      <c r="AD40" s="1402"/>
      <c r="AE40" s="1402"/>
    </row>
    <row r="41" spans="1:31" s="1687" customFormat="1" ht="22.5" customHeight="1">
      <c r="A41" s="771"/>
      <c r="C41" s="1406"/>
      <c r="D41" s="1408"/>
      <c r="E41" s="1433" t="s">
        <v>592</v>
      </c>
      <c r="F41" s="1419" t="s">
        <v>593</v>
      </c>
      <c r="G41" s="1412" t="s">
        <v>470</v>
      </c>
      <c r="H41" s="415"/>
      <c r="I41" s="415"/>
      <c r="J41" s="165" t="s">
        <v>594</v>
      </c>
      <c r="K41" s="401"/>
      <c r="L41" s="1406"/>
      <c r="M41" s="1406"/>
      <c r="R41" s="1406"/>
      <c r="U41" s="402"/>
      <c r="AA41" s="1402"/>
      <c r="AB41" s="1402"/>
      <c r="AC41" s="1402"/>
      <c r="AD41" s="1402"/>
      <c r="AE41" s="1402"/>
    </row>
    <row r="42" spans="1:31" s="1687" customFormat="1" ht="22.5" customHeight="1">
      <c r="A42" s="771"/>
      <c r="C42" s="1406"/>
      <c r="D42" s="1408"/>
      <c r="E42" s="1433" t="s">
        <v>595</v>
      </c>
      <c r="F42" s="1419" t="s">
        <v>596</v>
      </c>
      <c r="G42" s="1412" t="s">
        <v>470</v>
      </c>
      <c r="H42" s="415"/>
      <c r="I42" s="415"/>
      <c r="J42" s="165" t="s">
        <v>597</v>
      </c>
      <c r="K42" s="401"/>
      <c r="L42" s="1406"/>
      <c r="M42" s="1406"/>
      <c r="R42" s="1406"/>
      <c r="U42" s="402"/>
      <c r="AA42" s="1402"/>
      <c r="AB42" s="1402"/>
      <c r="AC42" s="1402"/>
      <c r="AD42" s="1402"/>
      <c r="AE42" s="1402"/>
    </row>
    <row r="43" spans="1:31" s="1687" customFormat="1" ht="33.75" customHeight="1">
      <c r="A43" s="771"/>
      <c r="C43" s="1406" t="s">
        <v>506</v>
      </c>
      <c r="D43" s="1408"/>
      <c r="E43" s="1433" t="s">
        <v>45</v>
      </c>
      <c r="F43" s="535" t="s">
        <v>598</v>
      </c>
      <c r="G43" s="1415" t="s">
        <v>599</v>
      </c>
      <c r="H43" s="286"/>
      <c r="I43" s="286"/>
      <c r="J43" s="165" t="s">
        <v>600</v>
      </c>
      <c r="K43" s="401"/>
      <c r="L43" s="1406"/>
      <c r="M43" s="1406"/>
      <c r="R43" s="1406"/>
      <c r="U43" s="402"/>
      <c r="AA43" s="1402"/>
      <c r="AB43" s="1402"/>
      <c r="AC43" s="1402"/>
      <c r="AD43" s="1402"/>
      <c r="AE43" s="1402"/>
    </row>
    <row r="44" spans="1:31" s="1687" customFormat="1" ht="22.5" customHeight="1">
      <c r="A44" s="771"/>
      <c r="C44" s="1406"/>
      <c r="D44" s="1408"/>
      <c r="E44" s="1433" t="s">
        <v>26</v>
      </c>
      <c r="F44" s="535" t="s">
        <v>601</v>
      </c>
      <c r="G44" s="1412" t="s">
        <v>602</v>
      </c>
      <c r="H44" s="403"/>
      <c r="I44" s="403"/>
      <c r="J44" s="165" t="s">
        <v>603</v>
      </c>
      <c r="K44" s="401"/>
      <c r="L44" s="1406"/>
      <c r="M44" s="1406"/>
      <c r="R44" s="1406"/>
      <c r="U44" s="402"/>
      <c r="AA44" s="1402"/>
      <c r="AB44" s="1402"/>
      <c r="AC44" s="1402"/>
      <c r="AD44" s="1402"/>
      <c r="AE44" s="1402"/>
    </row>
    <row r="45" spans="1:31" s="1687" customFormat="1" ht="22.5" customHeight="1">
      <c r="A45" s="771"/>
      <c r="C45" s="1406"/>
      <c r="D45" s="1408"/>
      <c r="E45" s="1433" t="s">
        <v>27</v>
      </c>
      <c r="F45" s="535" t="s">
        <v>604</v>
      </c>
      <c r="G45" s="1423" t="s">
        <v>605</v>
      </c>
      <c r="H45" s="403"/>
      <c r="I45" s="403"/>
      <c r="J45" s="165" t="s">
        <v>606</v>
      </c>
      <c r="K45" s="401"/>
      <c r="L45" s="1406"/>
      <c r="M45" s="1406"/>
      <c r="R45" s="1406"/>
      <c r="U45" s="402"/>
      <c r="AA45" s="1402"/>
      <c r="AB45" s="1402"/>
      <c r="AC45" s="1402"/>
      <c r="AD45" s="1402"/>
      <c r="AE45" s="1402"/>
    </row>
    <row r="46" spans="1:31" s="1687" customFormat="1" ht="18.75" customHeight="1">
      <c r="A46" s="771"/>
      <c r="C46" s="1406"/>
      <c r="D46" s="1408"/>
      <c r="E46" s="1433" t="s">
        <v>46</v>
      </c>
      <c r="F46" s="535" t="s">
        <v>607</v>
      </c>
      <c r="G46" s="1412" t="s">
        <v>508</v>
      </c>
      <c r="H46" s="435"/>
      <c r="I46" s="435"/>
      <c r="J46" s="165"/>
      <c r="K46" s="401"/>
      <c r="L46" s="1406"/>
      <c r="M46" s="1406"/>
      <c r="R46" s="1406"/>
      <c r="U46" s="402"/>
      <c r="AA46" s="1402"/>
      <c r="AB46" s="1402"/>
      <c r="AC46" s="1402"/>
      <c r="AD46" s="1402"/>
      <c r="AE46" s="1402"/>
    </row>
    <row r="47" spans="1:31" ht="11.25" customHeight="1">
      <c r="D47" s="1408"/>
    </row>
    <row r="48" spans="1:31" ht="26.25" customHeight="1">
      <c r="D48" s="1408"/>
      <c r="E48" s="1031"/>
      <c r="F48" s="2110"/>
      <c r="G48" s="2110"/>
      <c r="H48" s="2110"/>
      <c r="I48" s="2110"/>
      <c r="J48" s="2110"/>
    </row>
    <row r="49" spans="1:31" s="1727" customFormat="1" ht="37.5" customHeight="1">
      <c r="A49" s="771"/>
      <c r="B49" s="1406"/>
      <c r="C49" s="1406"/>
      <c r="D49" s="232"/>
      <c r="F49" s="2110"/>
      <c r="G49" s="2110"/>
      <c r="H49" s="2110"/>
      <c r="I49" s="2110"/>
      <c r="J49" s="2110"/>
      <c r="K49" s="929"/>
      <c r="L49" s="1406"/>
      <c r="M49" s="1406"/>
      <c r="N49" s="929"/>
      <c r="O49" s="929"/>
      <c r="P49" s="929"/>
      <c r="Q49" s="929"/>
      <c r="R49" s="1406"/>
      <c r="S49" s="929"/>
      <c r="T49" s="929"/>
      <c r="U49" s="402"/>
      <c r="V49" s="929"/>
      <c r="W49" s="929"/>
      <c r="X49" s="929"/>
      <c r="Y49" s="929"/>
      <c r="Z49" s="929"/>
      <c r="AA49" s="1402"/>
      <c r="AB49" s="424"/>
      <c r="AC49" s="424"/>
      <c r="AD49" s="424"/>
      <c r="AE49" s="424"/>
    </row>
    <row r="50" spans="1:31" s="1727" customFormat="1" ht="11.25" customHeight="1">
      <c r="A50" s="771"/>
      <c r="B50" s="1406"/>
      <c r="C50" s="1406"/>
      <c r="D50" s="232"/>
      <c r="K50" s="929"/>
      <c r="L50" s="1406"/>
      <c r="M50" s="1406"/>
      <c r="N50" s="929"/>
      <c r="O50" s="929"/>
      <c r="P50" s="929"/>
      <c r="Q50" s="929"/>
      <c r="R50" s="1406"/>
      <c r="S50" s="929"/>
      <c r="T50" s="929"/>
      <c r="U50" s="402"/>
      <c r="V50" s="929"/>
      <c r="W50" s="929"/>
      <c r="X50" s="929"/>
      <c r="Y50" s="929"/>
      <c r="Z50" s="929"/>
      <c r="AA50" s="1402"/>
      <c r="AB50" s="424"/>
      <c r="AC50" s="424"/>
      <c r="AD50" s="424"/>
      <c r="AE50" s="424"/>
    </row>
    <row r="51" spans="1:31" s="1727" customFormat="1" ht="11.25" customHeight="1">
      <c r="A51" s="771"/>
      <c r="B51" s="1406"/>
      <c r="C51" s="1406"/>
      <c r="D51" s="232"/>
      <c r="K51" s="929"/>
      <c r="L51" s="1406"/>
      <c r="M51" s="1406"/>
      <c r="N51" s="929"/>
      <c r="O51" s="929"/>
      <c r="P51" s="929"/>
      <c r="Q51" s="929"/>
      <c r="R51" s="1406"/>
      <c r="S51" s="929"/>
      <c r="T51" s="929"/>
      <c r="U51" s="402"/>
      <c r="V51" s="929"/>
      <c r="W51" s="929"/>
      <c r="X51" s="929"/>
      <c r="Y51" s="929"/>
      <c r="Z51" s="929"/>
      <c r="AA51" s="1402"/>
      <c r="AB51" s="424"/>
      <c r="AC51" s="424"/>
      <c r="AD51" s="424"/>
      <c r="AE51" s="424"/>
    </row>
    <row r="52" spans="1:31" s="1727" customFormat="1" ht="11.25" customHeight="1">
      <c r="A52" s="771"/>
      <c r="B52" s="1406"/>
      <c r="C52" s="1406"/>
      <c r="D52" s="232"/>
      <c r="H52" s="424"/>
      <c r="I52" s="424"/>
      <c r="K52" s="929"/>
      <c r="L52" s="1406"/>
      <c r="M52" s="1406"/>
      <c r="N52" s="929"/>
      <c r="O52" s="929"/>
      <c r="P52" s="929"/>
      <c r="Q52" s="929"/>
      <c r="R52" s="1406"/>
      <c r="S52" s="929"/>
      <c r="T52" s="929"/>
      <c r="U52" s="402"/>
      <c r="V52" s="929"/>
      <c r="W52" s="929"/>
      <c r="X52" s="929"/>
      <c r="Y52" s="929"/>
      <c r="Z52" s="929"/>
      <c r="AA52" s="1402"/>
      <c r="AB52" s="424"/>
      <c r="AC52" s="424"/>
      <c r="AD52" s="424"/>
      <c r="AE52" s="424"/>
    </row>
    <row r="53" spans="1:31" s="1727" customFormat="1" ht="11.25" customHeight="1">
      <c r="A53" s="771"/>
      <c r="B53" s="1406"/>
      <c r="C53" s="1406"/>
      <c r="D53" s="232"/>
      <c r="K53" s="929"/>
      <c r="L53" s="1406"/>
      <c r="M53" s="1406"/>
      <c r="N53" s="929"/>
      <c r="O53" s="929"/>
      <c r="P53" s="929"/>
      <c r="Q53" s="929"/>
      <c r="R53" s="1406"/>
      <c r="S53" s="929"/>
      <c r="T53" s="929"/>
      <c r="U53" s="402"/>
      <c r="V53" s="929"/>
      <c r="W53" s="929"/>
      <c r="X53" s="929"/>
      <c r="Y53" s="929"/>
      <c r="Z53" s="929"/>
      <c r="AA53" s="1402"/>
      <c r="AB53" s="424"/>
      <c r="AC53" s="424"/>
      <c r="AD53" s="424"/>
      <c r="AE53" s="424"/>
    </row>
    <row r="54" spans="1:31" s="1727" customFormat="1" ht="11.25" customHeight="1">
      <c r="A54" s="771"/>
      <c r="B54" s="1406"/>
      <c r="C54" s="1406"/>
      <c r="D54" s="232"/>
      <c r="K54" s="929"/>
      <c r="L54" s="1406"/>
      <c r="M54" s="1406"/>
      <c r="N54" s="929"/>
      <c r="O54" s="929"/>
      <c r="P54" s="929"/>
      <c r="Q54" s="929"/>
      <c r="R54" s="1406"/>
      <c r="S54" s="929"/>
      <c r="T54" s="929"/>
      <c r="U54" s="402"/>
      <c r="V54" s="929"/>
      <c r="W54" s="929"/>
      <c r="X54" s="929"/>
      <c r="Y54" s="929"/>
      <c r="Z54" s="929"/>
      <c r="AA54" s="1402"/>
      <c r="AB54" s="424"/>
      <c r="AC54" s="424"/>
      <c r="AD54" s="424"/>
      <c r="AE54" s="424"/>
    </row>
    <row r="55" spans="1:31" s="1727" customFormat="1" ht="11.25" customHeight="1">
      <c r="A55" s="771"/>
      <c r="B55" s="1406"/>
      <c r="C55" s="1406"/>
      <c r="D55" s="232"/>
      <c r="K55" s="929"/>
      <c r="L55" s="1406"/>
      <c r="M55" s="1406"/>
      <c r="N55" s="929"/>
      <c r="O55" s="929"/>
      <c r="P55" s="929"/>
      <c r="Q55" s="929"/>
      <c r="R55" s="1406"/>
      <c r="S55" s="929"/>
      <c r="T55" s="929"/>
      <c r="U55" s="402"/>
      <c r="V55" s="929"/>
      <c r="W55" s="929"/>
      <c r="X55" s="929"/>
      <c r="Y55" s="929"/>
      <c r="Z55" s="929"/>
      <c r="AA55" s="1402"/>
      <c r="AB55" s="424"/>
      <c r="AC55" s="424"/>
      <c r="AD55" s="424"/>
      <c r="AE55" s="424"/>
    </row>
    <row r="56" spans="1:31" s="1727" customFormat="1" ht="11.25" customHeight="1">
      <c r="A56" s="771"/>
      <c r="B56" s="1406"/>
      <c r="C56" s="1406"/>
      <c r="D56" s="232"/>
      <c r="K56" s="929"/>
      <c r="L56" s="1406"/>
      <c r="M56" s="1406"/>
      <c r="N56" s="929"/>
      <c r="O56" s="929"/>
      <c r="P56" s="929"/>
      <c r="Q56" s="929"/>
      <c r="R56" s="1406"/>
      <c r="S56" s="929"/>
      <c r="T56" s="929"/>
      <c r="U56" s="402"/>
      <c r="V56" s="929"/>
      <c r="W56" s="929"/>
      <c r="X56" s="929"/>
      <c r="Y56" s="929"/>
      <c r="Z56" s="929"/>
      <c r="AA56" s="1402"/>
      <c r="AB56" s="424"/>
      <c r="AC56" s="424"/>
      <c r="AD56" s="424"/>
      <c r="AE56" s="424"/>
    </row>
    <row r="57" spans="1:31" s="1727" customFormat="1" ht="11.25" customHeight="1">
      <c r="A57" s="771"/>
      <c r="B57" s="1406"/>
      <c r="C57" s="1406"/>
      <c r="D57" s="232"/>
      <c r="K57" s="929"/>
      <c r="L57" s="1406"/>
      <c r="M57" s="1406"/>
      <c r="N57" s="929"/>
      <c r="O57" s="929"/>
      <c r="P57" s="929"/>
      <c r="Q57" s="929"/>
      <c r="R57" s="1406"/>
      <c r="S57" s="929"/>
      <c r="T57" s="929"/>
      <c r="U57" s="402"/>
      <c r="V57" s="929"/>
      <c r="W57" s="929"/>
      <c r="X57" s="929"/>
      <c r="Y57" s="929"/>
      <c r="Z57" s="929"/>
      <c r="AA57" s="1402"/>
      <c r="AB57" s="424"/>
      <c r="AC57" s="424"/>
      <c r="AD57" s="424"/>
      <c r="AE57" s="424"/>
    </row>
    <row r="58" spans="1:31" s="1727" customFormat="1" ht="11.25" customHeight="1">
      <c r="A58" s="771"/>
      <c r="B58" s="1406"/>
      <c r="C58" s="1406"/>
      <c r="D58" s="232"/>
      <c r="K58" s="929"/>
      <c r="L58" s="1406"/>
      <c r="M58" s="1406"/>
      <c r="N58" s="929"/>
      <c r="O58" s="929"/>
      <c r="P58" s="929"/>
      <c r="Q58" s="929"/>
      <c r="R58" s="1406"/>
      <c r="S58" s="929"/>
      <c r="T58" s="929"/>
      <c r="U58" s="402"/>
      <c r="V58" s="929"/>
      <c r="W58" s="929"/>
      <c r="X58" s="929"/>
      <c r="Y58" s="929"/>
      <c r="Z58" s="929"/>
      <c r="AA58" s="1402"/>
      <c r="AB58" s="424"/>
      <c r="AC58" s="424"/>
      <c r="AD58" s="424"/>
      <c r="AE58" s="424"/>
    </row>
    <row r="59" spans="1:31" s="1727" customFormat="1" ht="11.25" customHeight="1">
      <c r="A59" s="771"/>
      <c r="B59" s="1406"/>
      <c r="C59" s="1406"/>
      <c r="D59" s="232"/>
      <c r="K59" s="929"/>
      <c r="L59" s="1406"/>
      <c r="M59" s="1406"/>
      <c r="N59" s="929"/>
      <c r="O59" s="929"/>
      <c r="P59" s="929"/>
      <c r="Q59" s="929"/>
      <c r="R59" s="1406"/>
      <c r="S59" s="929"/>
      <c r="T59" s="929"/>
      <c r="U59" s="402"/>
      <c r="V59" s="929"/>
      <c r="W59" s="929"/>
      <c r="X59" s="929"/>
      <c r="Y59" s="929"/>
      <c r="Z59" s="929"/>
      <c r="AA59" s="1402"/>
      <c r="AB59" s="424"/>
      <c r="AC59" s="424"/>
      <c r="AD59" s="424"/>
      <c r="AE59" s="424"/>
    </row>
    <row r="60" spans="1:31" s="1727" customFormat="1" ht="11.25" customHeight="1">
      <c r="A60" s="771"/>
      <c r="B60" s="1406"/>
      <c r="C60" s="1406"/>
      <c r="D60" s="232"/>
      <c r="K60" s="929"/>
      <c r="L60" s="1406"/>
      <c r="M60" s="1406"/>
      <c r="N60" s="929"/>
      <c r="O60" s="929"/>
      <c r="P60" s="929"/>
      <c r="Q60" s="929"/>
      <c r="R60" s="1406"/>
      <c r="S60" s="929"/>
      <c r="T60" s="929"/>
      <c r="U60" s="402"/>
      <c r="V60" s="929"/>
      <c r="W60" s="929"/>
      <c r="X60" s="929"/>
      <c r="Y60" s="929"/>
      <c r="Z60" s="929"/>
      <c r="AA60" s="1402"/>
      <c r="AB60" s="424"/>
      <c r="AC60" s="424"/>
      <c r="AD60" s="424"/>
      <c r="AE60" s="424"/>
    </row>
    <row r="61" spans="1:31" s="1727" customFormat="1" ht="11.25" customHeight="1">
      <c r="A61" s="771"/>
      <c r="B61" s="1406"/>
      <c r="C61" s="1406"/>
      <c r="D61" s="232"/>
      <c r="K61" s="929"/>
      <c r="L61" s="1406"/>
      <c r="M61" s="1406"/>
      <c r="N61" s="929"/>
      <c r="O61" s="929"/>
      <c r="P61" s="929"/>
      <c r="Q61" s="929"/>
      <c r="R61" s="1406"/>
      <c r="S61" s="929"/>
      <c r="T61" s="929"/>
      <c r="U61" s="402"/>
      <c r="V61" s="929"/>
      <c r="W61" s="929"/>
      <c r="X61" s="929"/>
      <c r="Y61" s="929"/>
      <c r="Z61" s="929"/>
      <c r="AA61" s="1402"/>
      <c r="AB61" s="424"/>
      <c r="AC61" s="424"/>
      <c r="AD61" s="424"/>
      <c r="AE61" s="424"/>
    </row>
    <row r="62" spans="1:31" s="1727" customFormat="1" ht="11.25" customHeight="1">
      <c r="A62" s="771"/>
      <c r="B62" s="1406"/>
      <c r="C62" s="1406"/>
      <c r="D62" s="232"/>
      <c r="K62" s="929"/>
      <c r="L62" s="1406"/>
      <c r="M62" s="1406"/>
      <c r="N62" s="929"/>
      <c r="O62" s="929"/>
      <c r="P62" s="929"/>
      <c r="Q62" s="929"/>
      <c r="R62" s="1406"/>
      <c r="S62" s="929"/>
      <c r="T62" s="929"/>
      <c r="U62" s="402"/>
      <c r="V62" s="929"/>
      <c r="W62" s="929"/>
      <c r="X62" s="929"/>
      <c r="Y62" s="929"/>
      <c r="Z62" s="929"/>
      <c r="AA62" s="1402"/>
      <c r="AB62" s="424"/>
      <c r="AC62" s="424"/>
      <c r="AD62" s="424"/>
      <c r="AE62" s="424"/>
    </row>
    <row r="63" spans="1:31" s="1727" customFormat="1" ht="11.25" customHeight="1">
      <c r="A63" s="771"/>
      <c r="B63" s="1406"/>
      <c r="C63" s="1406"/>
      <c r="D63" s="232"/>
      <c r="K63" s="929"/>
      <c r="L63" s="1406"/>
      <c r="M63" s="1406"/>
      <c r="N63" s="929"/>
      <c r="O63" s="929"/>
      <c r="P63" s="929"/>
      <c r="Q63" s="929"/>
      <c r="R63" s="1406"/>
      <c r="S63" s="929"/>
      <c r="T63" s="929"/>
      <c r="U63" s="402"/>
      <c r="V63" s="929"/>
      <c r="W63" s="929"/>
      <c r="X63" s="929"/>
      <c r="Y63" s="929"/>
      <c r="Z63" s="929"/>
      <c r="AA63" s="1402"/>
      <c r="AB63" s="424"/>
      <c r="AC63" s="424"/>
      <c r="AD63" s="424"/>
      <c r="AE63" s="424"/>
    </row>
    <row r="64" spans="1:31" s="1727" customFormat="1" ht="11.25" customHeight="1">
      <c r="A64" s="771"/>
      <c r="B64" s="1406"/>
      <c r="C64" s="1406"/>
      <c r="D64" s="232"/>
      <c r="K64" s="929"/>
      <c r="L64" s="1406"/>
      <c r="M64" s="1406"/>
      <c r="N64" s="929"/>
      <c r="O64" s="929"/>
      <c r="P64" s="929"/>
      <c r="Q64" s="929"/>
      <c r="R64" s="1406"/>
      <c r="S64" s="929"/>
      <c r="T64" s="929"/>
      <c r="U64" s="402"/>
      <c r="V64" s="929"/>
      <c r="W64" s="929"/>
      <c r="X64" s="929"/>
      <c r="Y64" s="929"/>
      <c r="Z64" s="929"/>
      <c r="AA64" s="1402"/>
      <c r="AB64" s="424"/>
      <c r="AC64" s="424"/>
      <c r="AD64" s="424"/>
      <c r="AE64" s="424"/>
    </row>
    <row r="65" spans="1:31" s="1727" customFormat="1" ht="11.25" customHeight="1">
      <c r="A65" s="771"/>
      <c r="B65" s="1406"/>
      <c r="C65" s="1406"/>
      <c r="D65" s="232"/>
      <c r="K65" s="929"/>
      <c r="L65" s="1406"/>
      <c r="M65" s="1406"/>
      <c r="N65" s="929"/>
      <c r="O65" s="929"/>
      <c r="P65" s="929"/>
      <c r="Q65" s="929"/>
      <c r="R65" s="1406"/>
      <c r="S65" s="929"/>
      <c r="T65" s="929"/>
      <c r="U65" s="402"/>
      <c r="V65" s="929"/>
      <c r="W65" s="929"/>
      <c r="X65" s="929"/>
      <c r="Y65" s="929"/>
      <c r="Z65" s="929"/>
      <c r="AA65" s="1402"/>
      <c r="AB65" s="424"/>
      <c r="AC65" s="424"/>
      <c r="AD65" s="424"/>
      <c r="AE65" s="424"/>
    </row>
    <row r="66" spans="1:31" s="1727" customFormat="1" ht="11.25" customHeight="1">
      <c r="A66" s="771"/>
      <c r="B66" s="1406"/>
      <c r="C66" s="1406"/>
      <c r="D66" s="232"/>
      <c r="K66" s="929"/>
      <c r="L66" s="1406"/>
      <c r="M66" s="1406"/>
      <c r="N66" s="929"/>
      <c r="O66" s="929"/>
      <c r="P66" s="929"/>
      <c r="Q66" s="929"/>
      <c r="R66" s="1406"/>
      <c r="S66" s="929"/>
      <c r="T66" s="929"/>
      <c r="U66" s="402"/>
      <c r="V66" s="929"/>
      <c r="W66" s="929"/>
      <c r="X66" s="929"/>
      <c r="Y66" s="929"/>
      <c r="Z66" s="929"/>
      <c r="AA66" s="1402"/>
      <c r="AB66" s="424"/>
      <c r="AC66" s="424"/>
      <c r="AD66" s="424"/>
      <c r="AE66" s="424"/>
    </row>
    <row r="67" spans="1:31" s="1727" customFormat="1" ht="11.25" customHeight="1">
      <c r="A67" s="771"/>
      <c r="B67" s="1406"/>
      <c r="C67" s="1406"/>
      <c r="D67" s="232"/>
      <c r="K67" s="929"/>
      <c r="L67" s="1406"/>
      <c r="M67" s="1406"/>
      <c r="N67" s="929"/>
      <c r="O67" s="929"/>
      <c r="P67" s="929"/>
      <c r="Q67" s="929"/>
      <c r="R67" s="1406"/>
      <c r="S67" s="929"/>
      <c r="T67" s="929"/>
      <c r="U67" s="402"/>
      <c r="V67" s="929"/>
      <c r="W67" s="929"/>
      <c r="X67" s="929"/>
      <c r="Y67" s="929"/>
      <c r="Z67" s="929"/>
      <c r="AA67" s="1402"/>
      <c r="AB67" s="424"/>
      <c r="AC67" s="424"/>
      <c r="AD67" s="424"/>
      <c r="AE67" s="424"/>
    </row>
    <row r="68" spans="1:31" s="1727" customFormat="1" ht="11.25" customHeight="1">
      <c r="A68" s="771"/>
      <c r="B68" s="1406"/>
      <c r="C68" s="1406"/>
      <c r="D68" s="232"/>
      <c r="K68" s="929"/>
      <c r="L68" s="1406"/>
      <c r="M68" s="1406"/>
      <c r="N68" s="929"/>
      <c r="O68" s="929"/>
      <c r="P68" s="929"/>
      <c r="Q68" s="929"/>
      <c r="R68" s="1406"/>
      <c r="S68" s="929"/>
      <c r="T68" s="929"/>
      <c r="U68" s="402"/>
      <c r="V68" s="929"/>
      <c r="W68" s="929"/>
      <c r="X68" s="929"/>
      <c r="Y68" s="929"/>
      <c r="Z68" s="929"/>
      <c r="AA68" s="1402"/>
      <c r="AB68" s="424"/>
      <c r="AC68" s="424"/>
      <c r="AD68" s="424"/>
      <c r="AE68" s="424"/>
    </row>
    <row r="69" spans="1:31" s="1727" customFormat="1" ht="11.25" customHeight="1">
      <c r="A69" s="771"/>
      <c r="B69" s="1406"/>
      <c r="C69" s="1406"/>
      <c r="D69" s="232"/>
      <c r="K69" s="929"/>
      <c r="L69" s="1406"/>
      <c r="M69" s="1406"/>
      <c r="N69" s="929"/>
      <c r="O69" s="929"/>
      <c r="P69" s="929"/>
      <c r="Q69" s="929"/>
      <c r="R69" s="1406"/>
      <c r="S69" s="929"/>
      <c r="T69" s="929"/>
      <c r="U69" s="402"/>
      <c r="V69" s="929"/>
      <c r="W69" s="929"/>
      <c r="X69" s="929"/>
      <c r="Y69" s="929"/>
      <c r="Z69" s="929"/>
      <c r="AA69" s="1402"/>
      <c r="AB69" s="424"/>
      <c r="AC69" s="424"/>
      <c r="AD69" s="424"/>
      <c r="AE69" s="424"/>
    </row>
    <row r="70" spans="1:31" s="1727" customFormat="1" ht="11.25" customHeight="1">
      <c r="A70" s="771"/>
      <c r="B70" s="1406"/>
      <c r="C70" s="1406"/>
      <c r="D70" s="232"/>
      <c r="K70" s="929"/>
      <c r="L70" s="1406"/>
      <c r="M70" s="1406"/>
      <c r="N70" s="929"/>
      <c r="O70" s="929"/>
      <c r="P70" s="929"/>
      <c r="Q70" s="929"/>
      <c r="R70" s="1406"/>
      <c r="S70" s="929"/>
      <c r="T70" s="929"/>
      <c r="U70" s="402"/>
      <c r="V70" s="929"/>
      <c r="W70" s="929"/>
      <c r="X70" s="929"/>
      <c r="Y70" s="929"/>
      <c r="Z70" s="929"/>
      <c r="AA70" s="1402"/>
      <c r="AB70" s="424"/>
      <c r="AC70" s="424"/>
      <c r="AD70" s="424"/>
      <c r="AE70" s="424"/>
    </row>
    <row r="71" spans="1:31" s="1727" customFormat="1" ht="11.25" customHeight="1">
      <c r="A71" s="771"/>
      <c r="B71" s="1406"/>
      <c r="C71" s="1406"/>
      <c r="D71" s="232"/>
      <c r="K71" s="929"/>
      <c r="L71" s="1406"/>
      <c r="M71" s="1406"/>
      <c r="N71" s="929"/>
      <c r="O71" s="929"/>
      <c r="P71" s="929"/>
      <c r="Q71" s="929"/>
      <c r="R71" s="1406"/>
      <c r="S71" s="929"/>
      <c r="T71" s="929"/>
      <c r="U71" s="402"/>
      <c r="V71" s="929"/>
      <c r="W71" s="929"/>
      <c r="X71" s="929"/>
      <c r="Y71" s="929"/>
      <c r="Z71" s="929"/>
      <c r="AA71" s="1402"/>
      <c r="AB71" s="424"/>
      <c r="AC71" s="424"/>
      <c r="AD71" s="424"/>
      <c r="AE71" s="424"/>
    </row>
    <row r="72" spans="1:31" s="1727" customFormat="1" ht="11.25" customHeight="1">
      <c r="A72" s="771"/>
      <c r="B72" s="1406"/>
      <c r="C72" s="1406"/>
      <c r="D72" s="232"/>
      <c r="K72" s="929"/>
      <c r="L72" s="1406"/>
      <c r="M72" s="1406"/>
      <c r="N72" s="929"/>
      <c r="O72" s="929"/>
      <c r="P72" s="929"/>
      <c r="Q72" s="929"/>
      <c r="R72" s="1406"/>
      <c r="S72" s="929"/>
      <c r="T72" s="929"/>
      <c r="U72" s="402"/>
      <c r="V72" s="929"/>
      <c r="W72" s="929"/>
      <c r="X72" s="929"/>
      <c r="Y72" s="929"/>
      <c r="Z72" s="929"/>
      <c r="AA72" s="1402"/>
      <c r="AB72" s="424"/>
      <c r="AC72" s="424"/>
      <c r="AD72" s="424"/>
      <c r="AE72" s="424"/>
    </row>
    <row r="73" spans="1:31" s="1727" customFormat="1" ht="11.25" customHeight="1">
      <c r="A73" s="771"/>
      <c r="B73" s="1406"/>
      <c r="C73" s="1406"/>
      <c r="D73" s="232"/>
      <c r="K73" s="929"/>
      <c r="L73" s="1406"/>
      <c r="M73" s="1406"/>
      <c r="N73" s="929"/>
      <c r="O73" s="929"/>
      <c r="P73" s="929"/>
      <c r="Q73" s="929"/>
      <c r="R73" s="1406"/>
      <c r="S73" s="929"/>
      <c r="T73" s="929"/>
      <c r="U73" s="402"/>
      <c r="V73" s="929"/>
      <c r="W73" s="929"/>
      <c r="X73" s="929"/>
      <c r="Y73" s="929"/>
      <c r="Z73" s="929"/>
      <c r="AA73" s="1402"/>
      <c r="AB73" s="424"/>
      <c r="AC73" s="424"/>
      <c r="AD73" s="424"/>
      <c r="AE73" s="424"/>
    </row>
    <row r="74" spans="1:31" s="1727" customFormat="1" ht="11.25" customHeight="1">
      <c r="A74" s="771"/>
      <c r="B74" s="1406"/>
      <c r="C74" s="1406"/>
      <c r="D74" s="232"/>
      <c r="K74" s="929"/>
      <c r="L74" s="1406"/>
      <c r="M74" s="1406"/>
      <c r="N74" s="929"/>
      <c r="O74" s="929"/>
      <c r="P74" s="929"/>
      <c r="Q74" s="929"/>
      <c r="R74" s="1406"/>
      <c r="S74" s="929"/>
      <c r="T74" s="929"/>
      <c r="U74" s="402"/>
      <c r="V74" s="929"/>
      <c r="W74" s="929"/>
      <c r="X74" s="929"/>
      <c r="Y74" s="929"/>
      <c r="Z74" s="929"/>
      <c r="AA74" s="1402"/>
      <c r="AB74" s="424"/>
      <c r="AC74" s="424"/>
      <c r="AD74" s="424"/>
      <c r="AE74" s="424"/>
    </row>
    <row r="75" spans="1:31" s="1727" customFormat="1" ht="11.25" customHeight="1">
      <c r="A75" s="771"/>
      <c r="B75" s="1406"/>
      <c r="C75" s="1406"/>
      <c r="D75" s="232"/>
      <c r="K75" s="929"/>
      <c r="L75" s="1406"/>
      <c r="M75" s="1406"/>
      <c r="N75" s="929"/>
      <c r="O75" s="929"/>
      <c r="P75" s="929"/>
      <c r="Q75" s="929"/>
      <c r="R75" s="1406"/>
      <c r="S75" s="929"/>
      <c r="T75" s="929"/>
      <c r="U75" s="402"/>
      <c r="V75" s="929"/>
      <c r="W75" s="929"/>
      <c r="X75" s="929"/>
      <c r="Y75" s="929"/>
      <c r="Z75" s="929"/>
      <c r="AA75" s="1402"/>
      <c r="AB75" s="424"/>
      <c r="AC75" s="424"/>
      <c r="AD75" s="424"/>
      <c r="AE75" s="424"/>
    </row>
    <row r="76" spans="1:31" s="1727" customFormat="1" ht="11.25" customHeight="1">
      <c r="A76" s="771"/>
      <c r="B76" s="1406"/>
      <c r="C76" s="1406"/>
      <c r="D76" s="232"/>
      <c r="K76" s="929"/>
      <c r="L76" s="1406"/>
      <c r="M76" s="1406"/>
      <c r="N76" s="929"/>
      <c r="O76" s="929"/>
      <c r="P76" s="929"/>
      <c r="Q76" s="929"/>
      <c r="R76" s="1406"/>
      <c r="S76" s="929"/>
      <c r="T76" s="929"/>
      <c r="U76" s="402"/>
      <c r="V76" s="929"/>
      <c r="W76" s="929"/>
      <c r="X76" s="929"/>
      <c r="Y76" s="929"/>
      <c r="Z76" s="929"/>
      <c r="AA76" s="1402"/>
      <c r="AB76" s="424"/>
      <c r="AC76" s="424"/>
      <c r="AD76" s="424"/>
      <c r="AE76" s="424"/>
    </row>
    <row r="77" spans="1:31" s="1727" customFormat="1" ht="11.25" customHeight="1">
      <c r="A77" s="771"/>
      <c r="B77" s="1406"/>
      <c r="C77" s="1406"/>
      <c r="D77" s="232"/>
      <c r="K77" s="929"/>
      <c r="L77" s="1406"/>
      <c r="M77" s="1406"/>
      <c r="N77" s="929"/>
      <c r="O77" s="929"/>
      <c r="P77" s="929"/>
      <c r="Q77" s="929"/>
      <c r="R77" s="1406"/>
      <c r="S77" s="929"/>
      <c r="T77" s="929"/>
      <c r="U77" s="402"/>
      <c r="V77" s="929"/>
      <c r="W77" s="929"/>
      <c r="X77" s="929"/>
      <c r="Y77" s="929"/>
      <c r="Z77" s="929"/>
      <c r="AA77" s="1402"/>
      <c r="AB77" s="424"/>
      <c r="AC77" s="424"/>
      <c r="AD77" s="424"/>
      <c r="AE77" s="424"/>
    </row>
    <row r="78" spans="1:31" s="1727" customFormat="1" ht="11.25" customHeight="1">
      <c r="A78" s="771"/>
      <c r="B78" s="1406"/>
      <c r="C78" s="1406"/>
      <c r="D78" s="232"/>
      <c r="K78" s="929"/>
      <c r="L78" s="1406"/>
      <c r="M78" s="1406"/>
      <c r="N78" s="929"/>
      <c r="O78" s="929"/>
      <c r="P78" s="929"/>
      <c r="Q78" s="929"/>
      <c r="R78" s="1406"/>
      <c r="S78" s="929"/>
      <c r="T78" s="929"/>
      <c r="U78" s="402"/>
      <c r="V78" s="929"/>
      <c r="W78" s="929"/>
      <c r="X78" s="929"/>
      <c r="Y78" s="929"/>
      <c r="Z78" s="929"/>
      <c r="AA78" s="1402"/>
      <c r="AB78" s="424"/>
      <c r="AC78" s="424"/>
      <c r="AD78" s="424"/>
      <c r="AE78" s="424"/>
    </row>
    <row r="79" spans="1:31" s="1727" customFormat="1" ht="11.25" customHeight="1">
      <c r="A79" s="771"/>
      <c r="B79" s="1406"/>
      <c r="C79" s="1406"/>
      <c r="D79" s="232"/>
      <c r="K79" s="929"/>
      <c r="L79" s="1406"/>
      <c r="M79" s="1406"/>
      <c r="N79" s="929"/>
      <c r="O79" s="929"/>
      <c r="P79" s="929"/>
      <c r="Q79" s="929"/>
      <c r="R79" s="1406"/>
      <c r="S79" s="929"/>
      <c r="T79" s="929"/>
      <c r="U79" s="402"/>
      <c r="V79" s="929"/>
      <c r="W79" s="929"/>
      <c r="X79" s="929"/>
      <c r="Y79" s="929"/>
      <c r="Z79" s="929"/>
      <c r="AA79" s="1402"/>
      <c r="AB79" s="424"/>
      <c r="AC79" s="424"/>
      <c r="AD79" s="424"/>
      <c r="AE79" s="424"/>
    </row>
    <row r="80" spans="1:31" s="1727" customFormat="1" ht="11.25" customHeight="1">
      <c r="A80" s="771"/>
      <c r="B80" s="1406"/>
      <c r="C80" s="1406"/>
      <c r="D80" s="232"/>
      <c r="K80" s="929"/>
      <c r="L80" s="1406"/>
      <c r="M80" s="1406"/>
      <c r="N80" s="929"/>
      <c r="O80" s="929"/>
      <c r="P80" s="929"/>
      <c r="Q80" s="929"/>
      <c r="R80" s="1406"/>
      <c r="S80" s="929"/>
      <c r="T80" s="929"/>
      <c r="U80" s="402"/>
      <c r="V80" s="929"/>
      <c r="W80" s="929"/>
      <c r="X80" s="929"/>
      <c r="Y80" s="929"/>
      <c r="Z80" s="929"/>
      <c r="AA80" s="1402"/>
      <c r="AB80" s="424"/>
      <c r="AC80" s="424"/>
      <c r="AD80" s="424"/>
      <c r="AE80" s="424"/>
    </row>
    <row r="81" spans="1:31" s="1727" customFormat="1" ht="11.25" customHeight="1">
      <c r="A81" s="771"/>
      <c r="B81" s="1406"/>
      <c r="C81" s="1406"/>
      <c r="D81" s="232"/>
      <c r="K81" s="929"/>
      <c r="L81" s="1406"/>
      <c r="M81" s="1406"/>
      <c r="N81" s="929"/>
      <c r="O81" s="929"/>
      <c r="P81" s="929"/>
      <c r="Q81" s="929"/>
      <c r="R81" s="1406"/>
      <c r="S81" s="929"/>
      <c r="T81" s="929"/>
      <c r="U81" s="402"/>
      <c r="V81" s="929"/>
      <c r="W81" s="929"/>
      <c r="X81" s="929"/>
      <c r="Y81" s="929"/>
      <c r="Z81" s="929"/>
      <c r="AA81" s="1402"/>
      <c r="AB81" s="424"/>
      <c r="AC81" s="424"/>
      <c r="AD81" s="424"/>
      <c r="AE81" s="424"/>
    </row>
    <row r="82" spans="1:31" s="1727" customFormat="1" ht="11.25" customHeight="1">
      <c r="A82" s="771"/>
      <c r="B82" s="1406"/>
      <c r="C82" s="1406"/>
      <c r="D82" s="232"/>
      <c r="K82" s="929"/>
      <c r="L82" s="1406"/>
      <c r="M82" s="1406"/>
      <c r="N82" s="929"/>
      <c r="O82" s="929"/>
      <c r="P82" s="929"/>
      <c r="Q82" s="929"/>
      <c r="R82" s="1406"/>
      <c r="S82" s="929"/>
      <c r="T82" s="929"/>
      <c r="U82" s="402"/>
      <c r="V82" s="929"/>
      <c r="W82" s="929"/>
      <c r="X82" s="929"/>
      <c r="Y82" s="929"/>
      <c r="Z82" s="929"/>
      <c r="AA82" s="1402"/>
      <c r="AB82" s="424"/>
      <c r="AC82" s="424"/>
      <c r="AD82" s="424"/>
      <c r="AE82" s="424"/>
    </row>
    <row r="83" spans="1:31" s="1727" customFormat="1" ht="11.25" customHeight="1">
      <c r="A83" s="771"/>
      <c r="B83" s="1406"/>
      <c r="C83" s="1406"/>
      <c r="D83" s="232"/>
      <c r="K83" s="929"/>
      <c r="L83" s="1406"/>
      <c r="M83" s="1406"/>
      <c r="N83" s="929"/>
      <c r="O83" s="929"/>
      <c r="P83" s="929"/>
      <c r="Q83" s="929"/>
      <c r="R83" s="1406"/>
      <c r="S83" s="929"/>
      <c r="T83" s="929"/>
      <c r="U83" s="402"/>
      <c r="V83" s="929"/>
      <c r="W83" s="929"/>
      <c r="X83" s="929"/>
      <c r="Y83" s="929"/>
      <c r="Z83" s="929"/>
      <c r="AA83" s="1402"/>
      <c r="AB83" s="424"/>
      <c r="AC83" s="424"/>
      <c r="AD83" s="424"/>
      <c r="AE83" s="424"/>
    </row>
    <row r="84" spans="1:31" s="1727" customFormat="1" ht="11.25" customHeight="1">
      <c r="A84" s="771"/>
      <c r="B84" s="1406"/>
      <c r="C84" s="1406"/>
      <c r="D84" s="232"/>
      <c r="K84" s="929"/>
      <c r="L84" s="1406"/>
      <c r="M84" s="1406"/>
      <c r="N84" s="929"/>
      <c r="O84" s="929"/>
      <c r="P84" s="929"/>
      <c r="Q84" s="929"/>
      <c r="R84" s="1406"/>
      <c r="S84" s="929"/>
      <c r="T84" s="929"/>
      <c r="U84" s="402"/>
      <c r="V84" s="929"/>
      <c r="W84" s="929"/>
      <c r="X84" s="929"/>
      <c r="Y84" s="929"/>
      <c r="Z84" s="929"/>
      <c r="AA84" s="1402"/>
      <c r="AB84" s="424"/>
      <c r="AC84" s="424"/>
      <c r="AD84" s="424"/>
      <c r="AE84" s="424"/>
    </row>
    <row r="85" spans="1:31" s="1727" customFormat="1" ht="11.25" customHeight="1">
      <c r="A85" s="771"/>
      <c r="B85" s="1406"/>
      <c r="C85" s="1406"/>
      <c r="D85" s="232"/>
      <c r="K85" s="929"/>
      <c r="L85" s="1406"/>
      <c r="M85" s="1406"/>
      <c r="N85" s="929"/>
      <c r="O85" s="929"/>
      <c r="P85" s="929"/>
      <c r="Q85" s="929"/>
      <c r="R85" s="1406"/>
      <c r="S85" s="929"/>
      <c r="T85" s="929"/>
      <c r="U85" s="402"/>
      <c r="V85" s="929"/>
      <c r="W85" s="929"/>
      <c r="X85" s="929"/>
      <c r="Y85" s="929"/>
      <c r="Z85" s="929"/>
      <c r="AA85" s="1402"/>
      <c r="AB85" s="424"/>
      <c r="AC85" s="424"/>
      <c r="AD85" s="424"/>
      <c r="AE85" s="424"/>
    </row>
    <row r="86" spans="1:31" s="1727" customFormat="1" ht="11.25" customHeight="1">
      <c r="A86" s="771"/>
      <c r="B86" s="1406"/>
      <c r="C86" s="1406"/>
      <c r="D86" s="232"/>
      <c r="K86" s="929"/>
      <c r="L86" s="1406"/>
      <c r="M86" s="1406"/>
      <c r="N86" s="929"/>
      <c r="O86" s="929"/>
      <c r="P86" s="929"/>
      <c r="Q86" s="929"/>
      <c r="R86" s="1406"/>
      <c r="S86" s="929"/>
      <c r="T86" s="929"/>
      <c r="U86" s="402"/>
      <c r="V86" s="929"/>
      <c r="W86" s="929"/>
      <c r="X86" s="929"/>
      <c r="Y86" s="929"/>
      <c r="Z86" s="929"/>
      <c r="AA86" s="1402"/>
      <c r="AB86" s="424"/>
      <c r="AC86" s="424"/>
      <c r="AD86" s="424"/>
      <c r="AE86" s="424"/>
    </row>
    <row r="87" spans="1:31" s="1727" customFormat="1" ht="11.25" customHeight="1">
      <c r="A87" s="771"/>
      <c r="B87" s="1406"/>
      <c r="C87" s="1406"/>
      <c r="D87" s="232"/>
      <c r="K87" s="929"/>
      <c r="L87" s="1406"/>
      <c r="M87" s="1406"/>
      <c r="N87" s="929"/>
      <c r="O87" s="929"/>
      <c r="P87" s="929"/>
      <c r="Q87" s="929"/>
      <c r="R87" s="1406"/>
      <c r="S87" s="929"/>
      <c r="T87" s="929"/>
      <c r="U87" s="402"/>
      <c r="V87" s="929"/>
      <c r="W87" s="929"/>
      <c r="X87" s="929"/>
      <c r="Y87" s="929"/>
      <c r="Z87" s="929"/>
      <c r="AA87" s="1402"/>
      <c r="AB87" s="424"/>
      <c r="AC87" s="424"/>
      <c r="AD87" s="424"/>
      <c r="AE87" s="424"/>
    </row>
    <row r="88" spans="1:31" s="1727" customFormat="1" ht="11.25" customHeight="1">
      <c r="A88" s="771"/>
      <c r="B88" s="1406"/>
      <c r="C88" s="1406"/>
      <c r="D88" s="232"/>
      <c r="K88" s="929"/>
      <c r="L88" s="1406"/>
      <c r="M88" s="1406"/>
      <c r="N88" s="929"/>
      <c r="O88" s="929"/>
      <c r="P88" s="929"/>
      <c r="Q88" s="929"/>
      <c r="R88" s="1406"/>
      <c r="S88" s="929"/>
      <c r="T88" s="929"/>
      <c r="U88" s="402"/>
      <c r="V88" s="929"/>
      <c r="W88" s="929"/>
      <c r="X88" s="929"/>
      <c r="Y88" s="929"/>
      <c r="Z88" s="929"/>
      <c r="AA88" s="1402"/>
      <c r="AB88" s="424"/>
      <c r="AC88" s="424"/>
      <c r="AD88" s="424"/>
      <c r="AE88" s="424"/>
    </row>
    <row r="89" spans="1:31" s="1727" customFormat="1" ht="11.25" customHeight="1">
      <c r="A89" s="771"/>
      <c r="B89" s="1406"/>
      <c r="C89" s="1406"/>
      <c r="D89" s="232"/>
      <c r="K89" s="929"/>
      <c r="L89" s="1406"/>
      <c r="M89" s="1406"/>
      <c r="N89" s="929"/>
      <c r="O89" s="929"/>
      <c r="P89" s="929"/>
      <c r="Q89" s="929"/>
      <c r="R89" s="1406"/>
      <c r="S89" s="929"/>
      <c r="T89" s="929"/>
      <c r="U89" s="402"/>
      <c r="V89" s="929"/>
      <c r="W89" s="929"/>
      <c r="X89" s="929"/>
      <c r="Y89" s="929"/>
      <c r="Z89" s="929"/>
      <c r="AA89" s="1402"/>
      <c r="AB89" s="424"/>
      <c r="AC89" s="424"/>
      <c r="AD89" s="424"/>
      <c r="AE89" s="424"/>
    </row>
    <row r="90" spans="1:31" s="1727" customFormat="1" ht="11.25" customHeight="1">
      <c r="A90" s="771"/>
      <c r="B90" s="1406"/>
      <c r="C90" s="1406"/>
      <c r="D90" s="232"/>
      <c r="K90" s="929"/>
      <c r="L90" s="1406"/>
      <c r="M90" s="1406"/>
      <c r="N90" s="929"/>
      <c r="O90" s="929"/>
      <c r="P90" s="929"/>
      <c r="Q90" s="929"/>
      <c r="R90" s="1406"/>
      <c r="S90" s="929"/>
      <c r="T90" s="929"/>
      <c r="U90" s="402"/>
      <c r="V90" s="929"/>
      <c r="W90" s="929"/>
      <c r="X90" s="929"/>
      <c r="Y90" s="929"/>
      <c r="Z90" s="929"/>
      <c r="AA90" s="1402"/>
      <c r="AB90" s="424"/>
      <c r="AC90" s="424"/>
      <c r="AD90" s="424"/>
      <c r="AE90" s="424"/>
    </row>
    <row r="91" spans="1:31" s="1727" customFormat="1" ht="11.25" customHeight="1">
      <c r="A91" s="771"/>
      <c r="B91" s="1406"/>
      <c r="C91" s="1406"/>
      <c r="D91" s="232"/>
      <c r="K91" s="929"/>
      <c r="L91" s="1406"/>
      <c r="M91" s="1406"/>
      <c r="N91" s="929"/>
      <c r="O91" s="929"/>
      <c r="P91" s="929"/>
      <c r="Q91" s="929"/>
      <c r="R91" s="1406"/>
      <c r="S91" s="929"/>
      <c r="T91" s="929"/>
      <c r="U91" s="402"/>
      <c r="V91" s="929"/>
      <c r="W91" s="929"/>
      <c r="X91" s="929"/>
      <c r="Y91" s="929"/>
      <c r="Z91" s="929"/>
      <c r="AA91" s="1402"/>
      <c r="AB91" s="424"/>
      <c r="AC91" s="424"/>
      <c r="AD91" s="424"/>
      <c r="AE91" s="424"/>
    </row>
    <row r="92" spans="1:31" s="1727" customFormat="1" ht="11.25" customHeight="1">
      <c r="A92" s="771"/>
      <c r="B92" s="1406"/>
      <c r="C92" s="1406"/>
      <c r="D92" s="232"/>
      <c r="K92" s="929"/>
      <c r="L92" s="1406"/>
      <c r="M92" s="1406"/>
      <c r="N92" s="929"/>
      <c r="O92" s="929"/>
      <c r="P92" s="929"/>
      <c r="Q92" s="929"/>
      <c r="R92" s="1406"/>
      <c r="S92" s="929"/>
      <c r="T92" s="929"/>
      <c r="U92" s="402"/>
      <c r="V92" s="929"/>
      <c r="W92" s="929"/>
      <c r="X92" s="929"/>
      <c r="Y92" s="929"/>
      <c r="Z92" s="929"/>
      <c r="AA92" s="1402"/>
      <c r="AB92" s="424"/>
      <c r="AC92" s="424"/>
      <c r="AD92" s="424"/>
      <c r="AE92" s="424"/>
    </row>
    <row r="93" spans="1:31" s="1727" customFormat="1" ht="11.25" customHeight="1">
      <c r="A93" s="771"/>
      <c r="B93" s="1406"/>
      <c r="C93" s="1406"/>
      <c r="D93" s="232"/>
      <c r="K93" s="929"/>
      <c r="L93" s="1406"/>
      <c r="M93" s="1406"/>
      <c r="N93" s="929"/>
      <c r="O93" s="929"/>
      <c r="P93" s="929"/>
      <c r="Q93" s="929"/>
      <c r="R93" s="1406"/>
      <c r="S93" s="929"/>
      <c r="T93" s="929"/>
      <c r="U93" s="402"/>
      <c r="V93" s="929"/>
      <c r="W93" s="929"/>
      <c r="X93" s="929"/>
      <c r="Y93" s="929"/>
      <c r="Z93" s="929"/>
      <c r="AA93" s="1402"/>
      <c r="AB93" s="424"/>
      <c r="AC93" s="424"/>
      <c r="AD93" s="424"/>
      <c r="AE93" s="424"/>
    </row>
    <row r="94" spans="1:31" s="1727" customFormat="1" ht="11.25" customHeight="1">
      <c r="A94" s="771"/>
      <c r="B94" s="1406"/>
      <c r="C94" s="1406"/>
      <c r="D94" s="232"/>
      <c r="K94" s="929"/>
      <c r="L94" s="1406"/>
      <c r="M94" s="1406"/>
      <c r="N94" s="929"/>
      <c r="O94" s="929"/>
      <c r="P94" s="929"/>
      <c r="Q94" s="929"/>
      <c r="R94" s="1406"/>
      <c r="S94" s="929"/>
      <c r="T94" s="929"/>
      <c r="U94" s="402"/>
      <c r="V94" s="929"/>
      <c r="W94" s="929"/>
      <c r="X94" s="929"/>
      <c r="Y94" s="929"/>
      <c r="Z94" s="929"/>
      <c r="AA94" s="1402"/>
      <c r="AB94" s="424"/>
      <c r="AC94" s="424"/>
      <c r="AD94" s="424"/>
      <c r="AE94" s="424"/>
    </row>
    <row r="95" spans="1:31" s="1727" customFormat="1" ht="11.25" customHeight="1">
      <c r="A95" s="771"/>
      <c r="B95" s="1406"/>
      <c r="C95" s="1406"/>
      <c r="D95" s="232"/>
      <c r="K95" s="929"/>
      <c r="L95" s="1406"/>
      <c r="M95" s="1406"/>
      <c r="N95" s="929"/>
      <c r="O95" s="929"/>
      <c r="P95" s="929"/>
      <c r="Q95" s="929"/>
      <c r="R95" s="1406"/>
      <c r="S95" s="929"/>
      <c r="T95" s="929"/>
      <c r="U95" s="402"/>
      <c r="V95" s="929"/>
      <c r="W95" s="929"/>
      <c r="X95" s="929"/>
      <c r="Y95" s="929"/>
      <c r="Z95" s="929"/>
      <c r="AA95" s="1402"/>
      <c r="AB95" s="424"/>
      <c r="AC95" s="424"/>
      <c r="AD95" s="424"/>
      <c r="AE95" s="424"/>
    </row>
    <row r="96" spans="1:31" s="1727" customFormat="1" ht="11.25" customHeight="1">
      <c r="A96" s="771"/>
      <c r="B96" s="1406"/>
      <c r="C96" s="1406"/>
      <c r="D96" s="232"/>
      <c r="K96" s="929"/>
      <c r="L96" s="1406"/>
      <c r="M96" s="1406"/>
      <c r="N96" s="929"/>
      <c r="O96" s="929"/>
      <c r="P96" s="929"/>
      <c r="Q96" s="929"/>
      <c r="R96" s="1406"/>
      <c r="S96" s="929"/>
      <c r="T96" s="929"/>
      <c r="U96" s="402"/>
      <c r="V96" s="929"/>
      <c r="W96" s="929"/>
      <c r="X96" s="929"/>
      <c r="Y96" s="929"/>
      <c r="Z96" s="929"/>
      <c r="AA96" s="1402"/>
      <c r="AB96" s="424"/>
      <c r="AC96" s="424"/>
      <c r="AD96" s="424"/>
      <c r="AE96" s="424"/>
    </row>
    <row r="97" spans="1:31" s="1727" customFormat="1" ht="11.25" customHeight="1">
      <c r="A97" s="771"/>
      <c r="B97" s="1406"/>
      <c r="C97" s="1406"/>
      <c r="D97" s="232"/>
      <c r="K97" s="929"/>
      <c r="L97" s="1406"/>
      <c r="M97" s="1406"/>
      <c r="N97" s="929"/>
      <c r="O97" s="929"/>
      <c r="P97" s="929"/>
      <c r="Q97" s="929"/>
      <c r="R97" s="1406"/>
      <c r="S97" s="929"/>
      <c r="T97" s="929"/>
      <c r="U97" s="402"/>
      <c r="V97" s="929"/>
      <c r="W97" s="929"/>
      <c r="X97" s="929"/>
      <c r="Y97" s="929"/>
      <c r="Z97" s="929"/>
      <c r="AA97" s="1402"/>
      <c r="AB97" s="424"/>
      <c r="AC97" s="424"/>
      <c r="AD97" s="424"/>
      <c r="AE97" s="424"/>
    </row>
    <row r="98" spans="1:31" s="1727" customFormat="1" ht="11.25" customHeight="1">
      <c r="A98" s="771"/>
      <c r="B98" s="1406"/>
      <c r="C98" s="1406"/>
      <c r="D98" s="232"/>
      <c r="K98" s="929"/>
      <c r="L98" s="1406"/>
      <c r="M98" s="1406"/>
      <c r="N98" s="929"/>
      <c r="O98" s="929"/>
      <c r="P98" s="929"/>
      <c r="Q98" s="929"/>
      <c r="R98" s="1406"/>
      <c r="S98" s="929"/>
      <c r="T98" s="929"/>
      <c r="U98" s="402"/>
      <c r="V98" s="929"/>
      <c r="W98" s="929"/>
      <c r="X98" s="929"/>
      <c r="Y98" s="929"/>
      <c r="Z98" s="929"/>
      <c r="AA98" s="1402"/>
      <c r="AB98" s="424"/>
      <c r="AC98" s="424"/>
      <c r="AD98" s="424"/>
      <c r="AE98" s="424"/>
    </row>
    <row r="99" spans="1:31" s="1727" customFormat="1" ht="11.25" customHeight="1">
      <c r="A99" s="771"/>
      <c r="B99" s="1406"/>
      <c r="C99" s="1406"/>
      <c r="D99" s="232"/>
      <c r="K99" s="929"/>
      <c r="L99" s="1406"/>
      <c r="M99" s="1406"/>
      <c r="N99" s="929"/>
      <c r="O99" s="929"/>
      <c r="P99" s="929"/>
      <c r="Q99" s="929"/>
      <c r="R99" s="1406"/>
      <c r="S99" s="929"/>
      <c r="T99" s="929"/>
      <c r="U99" s="402"/>
      <c r="V99" s="929"/>
      <c r="W99" s="929"/>
      <c r="X99" s="929"/>
      <c r="Y99" s="929"/>
      <c r="Z99" s="929"/>
      <c r="AA99" s="1402"/>
      <c r="AB99" s="424"/>
      <c r="AC99" s="424"/>
      <c r="AD99" s="424"/>
      <c r="AE99" s="424"/>
    </row>
    <row r="100" spans="1:31" s="1727" customFormat="1" ht="11.25" customHeight="1">
      <c r="A100" s="771"/>
      <c r="B100" s="1406"/>
      <c r="C100" s="1406"/>
      <c r="D100" s="232"/>
      <c r="K100" s="929"/>
      <c r="L100" s="1406"/>
      <c r="M100" s="1406"/>
      <c r="N100" s="929"/>
      <c r="O100" s="929"/>
      <c r="P100" s="929"/>
      <c r="Q100" s="929"/>
      <c r="R100" s="1406"/>
      <c r="S100" s="929"/>
      <c r="T100" s="929"/>
      <c r="U100" s="402"/>
      <c r="V100" s="929"/>
      <c r="W100" s="929"/>
      <c r="X100" s="929"/>
      <c r="Y100" s="929"/>
      <c r="Z100" s="929"/>
      <c r="AA100" s="1402"/>
      <c r="AB100" s="424"/>
      <c r="AC100" s="424"/>
      <c r="AD100" s="424"/>
      <c r="AE100" s="424"/>
    </row>
    <row r="101" spans="1:31" s="1727" customFormat="1" ht="11.25" customHeight="1">
      <c r="A101" s="771"/>
      <c r="B101" s="1406"/>
      <c r="C101" s="1406"/>
      <c r="D101" s="232"/>
      <c r="K101" s="929"/>
      <c r="L101" s="1406"/>
      <c r="M101" s="1406"/>
      <c r="N101" s="929"/>
      <c r="O101" s="929"/>
      <c r="P101" s="929"/>
      <c r="Q101" s="929"/>
      <c r="R101" s="1406"/>
      <c r="S101" s="929"/>
      <c r="T101" s="929"/>
      <c r="U101" s="402"/>
      <c r="V101" s="929"/>
      <c r="W101" s="929"/>
      <c r="X101" s="929"/>
      <c r="Y101" s="929"/>
      <c r="Z101" s="929"/>
      <c r="AA101" s="1402"/>
      <c r="AB101" s="424"/>
      <c r="AC101" s="424"/>
      <c r="AD101" s="424"/>
      <c r="AE101" s="424"/>
    </row>
    <row r="102" spans="1:31" s="1727" customFormat="1" ht="11.25" customHeight="1">
      <c r="A102" s="771"/>
      <c r="B102" s="1406"/>
      <c r="C102" s="1406"/>
      <c r="D102" s="232"/>
      <c r="K102" s="929"/>
      <c r="L102" s="1406"/>
      <c r="M102" s="1406"/>
      <c r="N102" s="929"/>
      <c r="O102" s="929"/>
      <c r="P102" s="929"/>
      <c r="Q102" s="929"/>
      <c r="R102" s="1406"/>
      <c r="S102" s="929"/>
      <c r="T102" s="929"/>
      <c r="U102" s="402"/>
      <c r="V102" s="929"/>
      <c r="W102" s="929"/>
      <c r="X102" s="929"/>
      <c r="Y102" s="929"/>
      <c r="Z102" s="929"/>
      <c r="AA102" s="1402"/>
      <c r="AB102" s="424"/>
      <c r="AC102" s="424"/>
      <c r="AD102" s="424"/>
      <c r="AE102" s="424"/>
    </row>
    <row r="103" spans="1:31" s="1727" customFormat="1" ht="11.25" customHeight="1">
      <c r="A103" s="771"/>
      <c r="B103" s="1406"/>
      <c r="C103" s="1406"/>
      <c r="D103" s="232"/>
      <c r="K103" s="929"/>
      <c r="L103" s="1406"/>
      <c r="M103" s="1406"/>
      <c r="N103" s="929"/>
      <c r="O103" s="929"/>
      <c r="P103" s="929"/>
      <c r="Q103" s="929"/>
      <c r="R103" s="1406"/>
      <c r="S103" s="929"/>
      <c r="T103" s="929"/>
      <c r="U103" s="402"/>
      <c r="V103" s="929"/>
      <c r="W103" s="929"/>
      <c r="X103" s="929"/>
      <c r="Y103" s="929"/>
      <c r="Z103" s="929"/>
      <c r="AA103" s="1402"/>
      <c r="AB103" s="424"/>
      <c r="AC103" s="424"/>
      <c r="AD103" s="424"/>
      <c r="AE103" s="424"/>
    </row>
    <row r="104" spans="1:31" s="1727" customFormat="1" ht="11.25" customHeight="1">
      <c r="A104" s="771"/>
      <c r="B104" s="1406"/>
      <c r="C104" s="1406"/>
      <c r="D104" s="232"/>
      <c r="K104" s="929"/>
      <c r="L104" s="1406"/>
      <c r="M104" s="1406"/>
      <c r="N104" s="929"/>
      <c r="O104" s="929"/>
      <c r="P104" s="929"/>
      <c r="Q104" s="929"/>
      <c r="R104" s="1406"/>
      <c r="S104" s="929"/>
      <c r="T104" s="929"/>
      <c r="U104" s="402"/>
      <c r="V104" s="929"/>
      <c r="W104" s="929"/>
      <c r="X104" s="929"/>
      <c r="Y104" s="929"/>
      <c r="Z104" s="929"/>
      <c r="AA104" s="1402"/>
      <c r="AB104" s="424"/>
      <c r="AC104" s="424"/>
      <c r="AD104" s="424"/>
      <c r="AE104" s="424"/>
    </row>
    <row r="105" spans="1:31" s="1727" customFormat="1" ht="11.25" customHeight="1">
      <c r="A105" s="771"/>
      <c r="B105" s="1406"/>
      <c r="C105" s="1406"/>
      <c r="D105" s="232"/>
      <c r="K105" s="929"/>
      <c r="L105" s="1406"/>
      <c r="M105" s="1406"/>
      <c r="N105" s="929"/>
      <c r="O105" s="929"/>
      <c r="P105" s="929"/>
      <c r="Q105" s="929"/>
      <c r="R105" s="1406"/>
      <c r="S105" s="929"/>
      <c r="T105" s="929"/>
      <c r="U105" s="402"/>
      <c r="V105" s="929"/>
      <c r="W105" s="929"/>
      <c r="X105" s="929"/>
      <c r="Y105" s="929"/>
      <c r="Z105" s="929"/>
      <c r="AA105" s="1402"/>
      <c r="AB105" s="424"/>
      <c r="AC105" s="424"/>
      <c r="AD105" s="424"/>
      <c r="AE105" s="424"/>
    </row>
    <row r="106" spans="1:31" s="1727" customFormat="1" ht="11.25" customHeight="1">
      <c r="A106" s="771"/>
      <c r="B106" s="1406"/>
      <c r="C106" s="1406"/>
      <c r="D106" s="232"/>
      <c r="K106" s="929"/>
      <c r="L106" s="1406"/>
      <c r="M106" s="1406"/>
      <c r="N106" s="929"/>
      <c r="O106" s="929"/>
      <c r="P106" s="929"/>
      <c r="Q106" s="929"/>
      <c r="R106" s="1406"/>
      <c r="S106" s="929"/>
      <c r="T106" s="929"/>
      <c r="U106" s="402"/>
      <c r="V106" s="929"/>
      <c r="W106" s="929"/>
      <c r="X106" s="929"/>
      <c r="Y106" s="929"/>
      <c r="Z106" s="929"/>
      <c r="AA106" s="1402"/>
      <c r="AB106" s="424"/>
      <c r="AC106" s="424"/>
      <c r="AD106" s="424"/>
      <c r="AE106" s="424"/>
    </row>
    <row r="107" spans="1:31" s="1727" customFormat="1" ht="11.25" customHeight="1">
      <c r="A107" s="771"/>
      <c r="B107" s="1406"/>
      <c r="C107" s="1406"/>
      <c r="D107" s="232"/>
      <c r="K107" s="929"/>
      <c r="L107" s="1406"/>
      <c r="M107" s="1406"/>
      <c r="N107" s="929"/>
      <c r="O107" s="929"/>
      <c r="P107" s="929"/>
      <c r="Q107" s="929"/>
      <c r="R107" s="1406"/>
      <c r="S107" s="929"/>
      <c r="T107" s="929"/>
      <c r="U107" s="402"/>
      <c r="V107" s="929"/>
      <c r="W107" s="929"/>
      <c r="X107" s="929"/>
      <c r="Y107" s="929"/>
      <c r="Z107" s="929"/>
      <c r="AA107" s="1402"/>
      <c r="AB107" s="424"/>
      <c r="AC107" s="424"/>
      <c r="AD107" s="424"/>
      <c r="AE107" s="424"/>
    </row>
    <row r="108" spans="1:31" s="1727" customFormat="1" ht="11.25" customHeight="1">
      <c r="A108" s="771"/>
      <c r="B108" s="1406"/>
      <c r="C108" s="1406"/>
      <c r="D108" s="232"/>
      <c r="K108" s="929"/>
      <c r="L108" s="1406"/>
      <c r="M108" s="1406"/>
      <c r="N108" s="929"/>
      <c r="O108" s="929"/>
      <c r="P108" s="929"/>
      <c r="Q108" s="929"/>
      <c r="R108" s="1406"/>
      <c r="S108" s="929"/>
      <c r="T108" s="929"/>
      <c r="U108" s="402"/>
      <c r="V108" s="929"/>
      <c r="W108" s="929"/>
      <c r="X108" s="929"/>
      <c r="Y108" s="929"/>
      <c r="Z108" s="929"/>
      <c r="AA108" s="1402"/>
      <c r="AB108" s="424"/>
      <c r="AC108" s="424"/>
      <c r="AD108" s="424"/>
      <c r="AE108" s="424"/>
    </row>
    <row r="109" spans="1:31" s="1727" customFormat="1" ht="11.25" customHeight="1">
      <c r="A109" s="771"/>
      <c r="B109" s="1406"/>
      <c r="C109" s="1406"/>
      <c r="D109" s="232"/>
      <c r="K109" s="929"/>
      <c r="L109" s="1406"/>
      <c r="M109" s="1406"/>
      <c r="N109" s="929"/>
      <c r="O109" s="929"/>
      <c r="P109" s="929"/>
      <c r="Q109" s="929"/>
      <c r="R109" s="1406"/>
      <c r="S109" s="929"/>
      <c r="T109" s="929"/>
      <c r="U109" s="402"/>
      <c r="V109" s="929"/>
      <c r="W109" s="929"/>
      <c r="X109" s="929"/>
      <c r="Y109" s="929"/>
      <c r="Z109" s="929"/>
      <c r="AA109" s="1402"/>
      <c r="AB109" s="424"/>
      <c r="AC109" s="424"/>
      <c r="AD109" s="424"/>
      <c r="AE109" s="424"/>
    </row>
    <row r="110" spans="1:31" s="1727" customFormat="1" ht="11.25" customHeight="1">
      <c r="A110" s="771"/>
      <c r="B110" s="1406"/>
      <c r="C110" s="1406"/>
      <c r="D110" s="232"/>
      <c r="K110" s="929"/>
      <c r="L110" s="1406"/>
      <c r="M110" s="1406"/>
      <c r="N110" s="929"/>
      <c r="O110" s="929"/>
      <c r="P110" s="929"/>
      <c r="Q110" s="929"/>
      <c r="R110" s="1406"/>
      <c r="S110" s="929"/>
      <c r="T110" s="929"/>
      <c r="U110" s="402"/>
      <c r="V110" s="929"/>
      <c r="W110" s="929"/>
      <c r="X110" s="929"/>
      <c r="Y110" s="929"/>
      <c r="Z110" s="929"/>
      <c r="AA110" s="1402"/>
      <c r="AB110" s="424"/>
      <c r="AC110" s="424"/>
      <c r="AD110" s="424"/>
      <c r="AE110" s="424"/>
    </row>
    <row r="111" spans="1:31" s="1727" customFormat="1" ht="11.25" customHeight="1">
      <c r="A111" s="771"/>
      <c r="B111" s="1406"/>
      <c r="C111" s="1406"/>
      <c r="D111" s="232"/>
      <c r="K111" s="929"/>
      <c r="L111" s="1406"/>
      <c r="M111" s="1406"/>
      <c r="N111" s="929"/>
      <c r="O111" s="929"/>
      <c r="P111" s="929"/>
      <c r="Q111" s="929"/>
      <c r="R111" s="1406"/>
      <c r="S111" s="929"/>
      <c r="T111" s="929"/>
      <c r="U111" s="402"/>
      <c r="V111" s="929"/>
      <c r="W111" s="929"/>
      <c r="X111" s="929"/>
      <c r="Y111" s="929"/>
      <c r="Z111" s="929"/>
      <c r="AA111" s="1402"/>
      <c r="AB111" s="424"/>
      <c r="AC111" s="424"/>
      <c r="AD111" s="424"/>
      <c r="AE111" s="424"/>
    </row>
    <row r="112" spans="1:31" s="1727" customFormat="1" ht="11.25" customHeight="1">
      <c r="A112" s="771"/>
      <c r="B112" s="1406"/>
      <c r="C112" s="1406"/>
      <c r="D112" s="232"/>
      <c r="K112" s="929"/>
      <c r="L112" s="1406"/>
      <c r="M112" s="1406"/>
      <c r="N112" s="929"/>
      <c r="O112" s="929"/>
      <c r="P112" s="929"/>
      <c r="Q112" s="929"/>
      <c r="R112" s="1406"/>
      <c r="S112" s="929"/>
      <c r="T112" s="929"/>
      <c r="U112" s="402"/>
      <c r="V112" s="929"/>
      <c r="W112" s="929"/>
      <c r="X112" s="929"/>
      <c r="Y112" s="929"/>
      <c r="Z112" s="929"/>
      <c r="AA112" s="1402"/>
      <c r="AB112" s="424"/>
      <c r="AC112" s="424"/>
      <c r="AD112" s="424"/>
      <c r="AE112" s="424"/>
    </row>
    <row r="113" spans="1:31" s="1727" customFormat="1" ht="11.25" customHeight="1">
      <c r="A113" s="771"/>
      <c r="B113" s="1406"/>
      <c r="C113" s="1406"/>
      <c r="D113" s="232"/>
      <c r="K113" s="929"/>
      <c r="L113" s="1406"/>
      <c r="M113" s="1406"/>
      <c r="N113" s="929"/>
      <c r="O113" s="929"/>
      <c r="P113" s="929"/>
      <c r="Q113" s="929"/>
      <c r="R113" s="1406"/>
      <c r="S113" s="929"/>
      <c r="T113" s="929"/>
      <c r="U113" s="402"/>
      <c r="V113" s="929"/>
      <c r="W113" s="929"/>
      <c r="X113" s="929"/>
      <c r="Y113" s="929"/>
      <c r="Z113" s="929"/>
      <c r="AA113" s="1402"/>
      <c r="AB113" s="424"/>
      <c r="AC113" s="424"/>
      <c r="AD113" s="424"/>
      <c r="AE113" s="424"/>
    </row>
    <row r="114" spans="1:31" s="1727" customFormat="1" ht="11.25" customHeight="1">
      <c r="A114" s="771"/>
      <c r="B114" s="1406"/>
      <c r="C114" s="1406"/>
      <c r="D114" s="232"/>
      <c r="K114" s="929"/>
      <c r="L114" s="1406"/>
      <c r="M114" s="1406"/>
      <c r="N114" s="929"/>
      <c r="O114" s="929"/>
      <c r="P114" s="929"/>
      <c r="Q114" s="929"/>
      <c r="R114" s="1406"/>
      <c r="S114" s="929"/>
      <c r="T114" s="929"/>
      <c r="U114" s="402"/>
      <c r="V114" s="929"/>
      <c r="W114" s="929"/>
      <c r="X114" s="929"/>
      <c r="Y114" s="929"/>
      <c r="Z114" s="929"/>
      <c r="AA114" s="1402"/>
      <c r="AB114" s="424"/>
      <c r="AC114" s="424"/>
      <c r="AD114" s="424"/>
      <c r="AE114" s="424"/>
    </row>
    <row r="115" spans="1:31" s="1727" customFormat="1" ht="11.25" customHeight="1">
      <c r="A115" s="771"/>
      <c r="B115" s="1406"/>
      <c r="C115" s="1406"/>
      <c r="D115" s="232"/>
      <c r="K115" s="929"/>
      <c r="L115" s="1406"/>
      <c r="M115" s="1406"/>
      <c r="N115" s="929"/>
      <c r="O115" s="929"/>
      <c r="P115" s="929"/>
      <c r="Q115" s="929"/>
      <c r="R115" s="1406"/>
      <c r="S115" s="929"/>
      <c r="T115" s="929"/>
      <c r="U115" s="402"/>
      <c r="V115" s="929"/>
      <c r="W115" s="929"/>
      <c r="X115" s="929"/>
      <c r="Y115" s="929"/>
      <c r="Z115" s="929"/>
      <c r="AA115" s="1402"/>
      <c r="AB115" s="424"/>
      <c r="AC115" s="424"/>
      <c r="AD115" s="424"/>
      <c r="AE115" s="424"/>
    </row>
    <row r="116" spans="1:31" s="1727" customFormat="1" ht="11.25" customHeight="1">
      <c r="A116" s="771"/>
      <c r="B116" s="1406"/>
      <c r="C116" s="1406"/>
      <c r="D116" s="232"/>
      <c r="K116" s="929"/>
      <c r="L116" s="1406"/>
      <c r="M116" s="1406"/>
      <c r="N116" s="929"/>
      <c r="O116" s="929"/>
      <c r="P116" s="929"/>
      <c r="Q116" s="929"/>
      <c r="R116" s="1406"/>
      <c r="S116" s="929"/>
      <c r="T116" s="929"/>
      <c r="U116" s="402"/>
      <c r="V116" s="929"/>
      <c r="W116" s="929"/>
      <c r="X116" s="929"/>
      <c r="Y116" s="929"/>
      <c r="Z116" s="929"/>
      <c r="AA116" s="1402"/>
      <c r="AB116" s="424"/>
      <c r="AC116" s="424"/>
      <c r="AD116" s="424"/>
      <c r="AE116" s="424"/>
    </row>
    <row r="117" spans="1:31" s="1727" customFormat="1" ht="11.25" customHeight="1">
      <c r="A117" s="771"/>
      <c r="B117" s="1406"/>
      <c r="C117" s="1406"/>
      <c r="D117" s="232"/>
      <c r="K117" s="929"/>
      <c r="L117" s="1406"/>
      <c r="M117" s="1406"/>
      <c r="N117" s="929"/>
      <c r="O117" s="929"/>
      <c r="P117" s="929"/>
      <c r="Q117" s="929"/>
      <c r="R117" s="1406"/>
      <c r="S117" s="929"/>
      <c r="T117" s="929"/>
      <c r="U117" s="402"/>
      <c r="V117" s="929"/>
      <c r="W117" s="929"/>
      <c r="X117" s="929"/>
      <c r="Y117" s="929"/>
      <c r="Z117" s="929"/>
      <c r="AA117" s="1402"/>
      <c r="AB117" s="424"/>
      <c r="AC117" s="424"/>
      <c r="AD117" s="424"/>
      <c r="AE117" s="424"/>
    </row>
    <row r="118" spans="1:31" s="1727" customFormat="1" ht="11.25" customHeight="1">
      <c r="A118" s="771"/>
      <c r="B118" s="1406"/>
      <c r="C118" s="1406"/>
      <c r="D118" s="232"/>
      <c r="K118" s="929"/>
      <c r="L118" s="1406"/>
      <c r="M118" s="1406"/>
      <c r="N118" s="929"/>
      <c r="O118" s="929"/>
      <c r="P118" s="929"/>
      <c r="Q118" s="929"/>
      <c r="R118" s="1406"/>
      <c r="S118" s="929"/>
      <c r="T118" s="929"/>
      <c r="U118" s="402"/>
      <c r="V118" s="929"/>
      <c r="W118" s="929"/>
      <c r="X118" s="929"/>
      <c r="Y118" s="929"/>
      <c r="Z118" s="929"/>
      <c r="AA118" s="1402"/>
      <c r="AB118" s="424"/>
      <c r="AC118" s="424"/>
      <c r="AD118" s="424"/>
      <c r="AE118" s="424"/>
    </row>
    <row r="119" spans="1:31" s="1727" customFormat="1" ht="11.25" customHeight="1">
      <c r="A119" s="771"/>
      <c r="B119" s="1406"/>
      <c r="C119" s="1406"/>
      <c r="D119" s="232"/>
      <c r="K119" s="929"/>
      <c r="L119" s="1406"/>
      <c r="M119" s="1406"/>
      <c r="N119" s="929"/>
      <c r="O119" s="929"/>
      <c r="P119" s="929"/>
      <c r="Q119" s="929"/>
      <c r="R119" s="1406"/>
      <c r="S119" s="929"/>
      <c r="T119" s="929"/>
      <c r="U119" s="402"/>
      <c r="V119" s="929"/>
      <c r="W119" s="929"/>
      <c r="X119" s="929"/>
      <c r="Y119" s="929"/>
      <c r="Z119" s="929"/>
      <c r="AA119" s="1402"/>
      <c r="AB119" s="424"/>
      <c r="AC119" s="424"/>
      <c r="AD119" s="424"/>
      <c r="AE119" s="424"/>
    </row>
    <row r="120" spans="1:31" s="1727" customFormat="1" ht="11.25" customHeight="1">
      <c r="A120" s="771"/>
      <c r="B120" s="1406"/>
      <c r="C120" s="1406"/>
      <c r="D120" s="232"/>
      <c r="K120" s="929"/>
      <c r="L120" s="1406"/>
      <c r="M120" s="1406"/>
      <c r="N120" s="929"/>
      <c r="O120" s="929"/>
      <c r="P120" s="929"/>
      <c r="Q120" s="929"/>
      <c r="R120" s="1406"/>
      <c r="S120" s="929"/>
      <c r="T120" s="929"/>
      <c r="U120" s="402"/>
      <c r="V120" s="929"/>
      <c r="W120" s="929"/>
      <c r="X120" s="929"/>
      <c r="Y120" s="929"/>
      <c r="Z120" s="929"/>
      <c r="AA120" s="1402"/>
      <c r="AB120" s="424"/>
      <c r="AC120" s="424"/>
      <c r="AD120" s="424"/>
      <c r="AE120" s="424"/>
    </row>
    <row r="121" spans="1:31" s="1727" customFormat="1" ht="11.25" customHeight="1">
      <c r="A121" s="771"/>
      <c r="B121" s="1406"/>
      <c r="C121" s="1406"/>
      <c r="D121" s="232"/>
      <c r="K121" s="929"/>
      <c r="L121" s="1406"/>
      <c r="M121" s="1406"/>
      <c r="N121" s="929"/>
      <c r="O121" s="929"/>
      <c r="P121" s="929"/>
      <c r="Q121" s="929"/>
      <c r="R121" s="1406"/>
      <c r="S121" s="929"/>
      <c r="T121" s="929"/>
      <c r="U121" s="402"/>
      <c r="V121" s="929"/>
      <c r="W121" s="929"/>
      <c r="X121" s="929"/>
      <c r="Y121" s="929"/>
      <c r="Z121" s="929"/>
      <c r="AA121" s="1402"/>
      <c r="AB121" s="424"/>
      <c r="AC121" s="424"/>
      <c r="AD121" s="424"/>
      <c r="AE121" s="424"/>
    </row>
    <row r="122" spans="1:31" s="1727" customFormat="1" ht="11.25" customHeight="1">
      <c r="A122" s="771"/>
      <c r="B122" s="1406"/>
      <c r="C122" s="1406"/>
      <c r="D122" s="232"/>
      <c r="K122" s="929"/>
      <c r="L122" s="1406"/>
      <c r="M122" s="1406"/>
      <c r="N122" s="929"/>
      <c r="O122" s="929"/>
      <c r="P122" s="929"/>
      <c r="Q122" s="929"/>
      <c r="R122" s="1406"/>
      <c r="S122" s="929"/>
      <c r="T122" s="929"/>
      <c r="U122" s="402"/>
      <c r="V122" s="929"/>
      <c r="W122" s="929"/>
      <c r="X122" s="929"/>
      <c r="Y122" s="929"/>
      <c r="Z122" s="929"/>
      <c r="AA122" s="1402"/>
      <c r="AB122" s="424"/>
      <c r="AC122" s="424"/>
      <c r="AD122" s="424"/>
      <c r="AE122" s="424"/>
    </row>
    <row r="123" spans="1:31" s="1727" customFormat="1" ht="11.25" customHeight="1">
      <c r="A123" s="771"/>
      <c r="B123" s="1406"/>
      <c r="C123" s="1406"/>
      <c r="D123" s="232"/>
      <c r="K123" s="929"/>
      <c r="L123" s="1406"/>
      <c r="M123" s="1406"/>
      <c r="N123" s="929"/>
      <c r="O123" s="929"/>
      <c r="P123" s="929"/>
      <c r="Q123" s="929"/>
      <c r="R123" s="1406"/>
      <c r="S123" s="929"/>
      <c r="T123" s="929"/>
      <c r="U123" s="402"/>
      <c r="V123" s="929"/>
      <c r="W123" s="929"/>
      <c r="X123" s="929"/>
      <c r="Y123" s="929"/>
      <c r="Z123" s="929"/>
      <c r="AA123" s="1402"/>
      <c r="AB123" s="424"/>
      <c r="AC123" s="424"/>
      <c r="AD123" s="424"/>
      <c r="AE123" s="424"/>
    </row>
    <row r="124" spans="1:31" s="1727" customFormat="1" ht="11.25" customHeight="1">
      <c r="A124" s="771"/>
      <c r="B124" s="1406"/>
      <c r="C124" s="1406"/>
      <c r="D124" s="232"/>
      <c r="K124" s="929"/>
      <c r="L124" s="1406"/>
      <c r="M124" s="1406"/>
      <c r="N124" s="929"/>
      <c r="O124" s="929"/>
      <c r="P124" s="929"/>
      <c r="Q124" s="929"/>
      <c r="R124" s="1406"/>
      <c r="S124" s="929"/>
      <c r="T124" s="929"/>
      <c r="U124" s="402"/>
      <c r="V124" s="929"/>
      <c r="W124" s="929"/>
      <c r="X124" s="929"/>
      <c r="Y124" s="929"/>
      <c r="Z124" s="929"/>
      <c r="AA124" s="1402"/>
      <c r="AB124" s="424"/>
      <c r="AC124" s="424"/>
      <c r="AD124" s="424"/>
      <c r="AE124" s="424"/>
    </row>
    <row r="125" spans="1:31" s="1727" customFormat="1" ht="11.25" customHeight="1">
      <c r="A125" s="771"/>
      <c r="B125" s="1406"/>
      <c r="C125" s="1406"/>
      <c r="D125" s="232"/>
      <c r="K125" s="929"/>
      <c r="L125" s="1406"/>
      <c r="M125" s="1406"/>
      <c r="N125" s="929"/>
      <c r="O125" s="929"/>
      <c r="P125" s="929"/>
      <c r="Q125" s="929"/>
      <c r="R125" s="1406"/>
      <c r="S125" s="929"/>
      <c r="T125" s="929"/>
      <c r="U125" s="402"/>
      <c r="V125" s="929"/>
      <c r="W125" s="929"/>
      <c r="X125" s="929"/>
      <c r="Y125" s="929"/>
      <c r="Z125" s="929"/>
      <c r="AA125" s="1402"/>
      <c r="AB125" s="424"/>
      <c r="AC125" s="424"/>
      <c r="AD125" s="424"/>
      <c r="AE125" s="424"/>
    </row>
    <row r="126" spans="1:31" s="1727" customFormat="1" ht="11.25" customHeight="1">
      <c r="A126" s="771"/>
      <c r="B126" s="1406"/>
      <c r="C126" s="1406"/>
      <c r="D126" s="232"/>
      <c r="K126" s="929"/>
      <c r="L126" s="1406"/>
      <c r="M126" s="1406"/>
      <c r="N126" s="929"/>
      <c r="O126" s="929"/>
      <c r="P126" s="929"/>
      <c r="Q126" s="929"/>
      <c r="R126" s="1406"/>
      <c r="S126" s="929"/>
      <c r="T126" s="929"/>
      <c r="U126" s="402"/>
      <c r="V126" s="929"/>
      <c r="W126" s="929"/>
      <c r="X126" s="929"/>
      <c r="Y126" s="929"/>
      <c r="Z126" s="929"/>
      <c r="AA126" s="1402"/>
      <c r="AB126" s="424"/>
      <c r="AC126" s="424"/>
      <c r="AD126" s="424"/>
      <c r="AE126" s="424"/>
    </row>
    <row r="127" spans="1:31" s="1727" customFormat="1" ht="11.25" customHeight="1">
      <c r="A127" s="771"/>
      <c r="B127" s="1406"/>
      <c r="C127" s="1406"/>
      <c r="D127" s="232"/>
      <c r="K127" s="929"/>
      <c r="L127" s="1406"/>
      <c r="M127" s="1406"/>
      <c r="N127" s="929"/>
      <c r="O127" s="929"/>
      <c r="P127" s="929"/>
      <c r="Q127" s="929"/>
      <c r="R127" s="1406"/>
      <c r="S127" s="929"/>
      <c r="T127" s="929"/>
      <c r="U127" s="402"/>
      <c r="V127" s="929"/>
      <c r="W127" s="929"/>
      <c r="X127" s="929"/>
      <c r="Y127" s="929"/>
      <c r="Z127" s="929"/>
      <c r="AA127" s="1402"/>
      <c r="AB127" s="424"/>
      <c r="AC127" s="424"/>
      <c r="AD127" s="424"/>
      <c r="AE127" s="424"/>
    </row>
    <row r="128" spans="1:31" s="1727" customFormat="1" ht="11.25" customHeight="1">
      <c r="A128" s="771"/>
      <c r="B128" s="1406"/>
      <c r="C128" s="1406"/>
      <c r="D128" s="232"/>
      <c r="K128" s="929"/>
      <c r="L128" s="1406"/>
      <c r="M128" s="1406"/>
      <c r="N128" s="929"/>
      <c r="O128" s="929"/>
      <c r="P128" s="929"/>
      <c r="Q128" s="929"/>
      <c r="R128" s="1406"/>
      <c r="S128" s="929"/>
      <c r="T128" s="929"/>
      <c r="U128" s="402"/>
      <c r="V128" s="929"/>
      <c r="W128" s="929"/>
      <c r="X128" s="929"/>
      <c r="Y128" s="929"/>
      <c r="Z128" s="929"/>
      <c r="AA128" s="1402"/>
      <c r="AB128" s="424"/>
      <c r="AC128" s="424"/>
      <c r="AD128" s="424"/>
      <c r="AE128" s="424"/>
    </row>
    <row r="129" spans="1:31" s="1727" customFormat="1" ht="11.25" customHeight="1">
      <c r="A129" s="771"/>
      <c r="B129" s="1406"/>
      <c r="C129" s="1406"/>
      <c r="D129" s="232"/>
      <c r="K129" s="929"/>
      <c r="L129" s="1406"/>
      <c r="M129" s="1406"/>
      <c r="N129" s="929"/>
      <c r="O129" s="929"/>
      <c r="P129" s="929"/>
      <c r="Q129" s="929"/>
      <c r="R129" s="1406"/>
      <c r="S129" s="929"/>
      <c r="T129" s="929"/>
      <c r="U129" s="402"/>
      <c r="V129" s="929"/>
      <c r="W129" s="929"/>
      <c r="X129" s="929"/>
      <c r="Y129" s="929"/>
      <c r="Z129" s="929"/>
      <c r="AA129" s="1402"/>
      <c r="AB129" s="424"/>
      <c r="AC129" s="424"/>
      <c r="AD129" s="424"/>
      <c r="AE129" s="424"/>
    </row>
    <row r="130" spans="1:31" s="1727" customFormat="1" ht="11.25" customHeight="1">
      <c r="A130" s="771"/>
      <c r="B130" s="1406"/>
      <c r="C130" s="1406"/>
      <c r="D130" s="232"/>
      <c r="K130" s="929"/>
      <c r="L130" s="1406"/>
      <c r="M130" s="1406"/>
      <c r="N130" s="929"/>
      <c r="O130" s="929"/>
      <c r="P130" s="929"/>
      <c r="Q130" s="929"/>
      <c r="R130" s="1406"/>
      <c r="S130" s="929"/>
      <c r="T130" s="929"/>
      <c r="U130" s="402"/>
      <c r="V130" s="929"/>
      <c r="W130" s="929"/>
      <c r="X130" s="929"/>
      <c r="Y130" s="929"/>
      <c r="Z130" s="929"/>
      <c r="AA130" s="1402"/>
      <c r="AB130" s="424"/>
      <c r="AC130" s="424"/>
      <c r="AD130" s="424"/>
      <c r="AE130" s="424"/>
    </row>
    <row r="131" spans="1:31" s="1727" customFormat="1" ht="11.25" customHeight="1">
      <c r="A131" s="771"/>
      <c r="B131" s="1406"/>
      <c r="C131" s="1406"/>
      <c r="D131" s="232"/>
      <c r="K131" s="929"/>
      <c r="L131" s="1406"/>
      <c r="M131" s="1406"/>
      <c r="N131" s="929"/>
      <c r="O131" s="929"/>
      <c r="P131" s="929"/>
      <c r="Q131" s="929"/>
      <c r="R131" s="1406"/>
      <c r="S131" s="929"/>
      <c r="T131" s="929"/>
      <c r="U131" s="402"/>
      <c r="V131" s="929"/>
      <c r="W131" s="929"/>
      <c r="X131" s="929"/>
      <c r="Y131" s="929"/>
      <c r="Z131" s="929"/>
      <c r="AA131" s="1402"/>
      <c r="AB131" s="424"/>
      <c r="AC131" s="424"/>
      <c r="AD131" s="424"/>
      <c r="AE131" s="424"/>
    </row>
    <row r="132" spans="1:31" s="1727" customFormat="1" ht="11.25" customHeight="1">
      <c r="A132" s="771"/>
      <c r="B132" s="1406"/>
      <c r="C132" s="1406"/>
      <c r="D132" s="232"/>
      <c r="K132" s="929"/>
      <c r="L132" s="1406"/>
      <c r="M132" s="1406"/>
      <c r="N132" s="929"/>
      <c r="O132" s="929"/>
      <c r="P132" s="929"/>
      <c r="Q132" s="929"/>
      <c r="R132" s="1406"/>
      <c r="S132" s="929"/>
      <c r="T132" s="929"/>
      <c r="U132" s="402"/>
      <c r="V132" s="929"/>
      <c r="W132" s="929"/>
      <c r="X132" s="929"/>
      <c r="Y132" s="929"/>
      <c r="Z132" s="929"/>
      <c r="AA132" s="1402"/>
      <c r="AB132" s="424"/>
      <c r="AC132" s="424"/>
      <c r="AD132" s="424"/>
      <c r="AE132" s="424"/>
    </row>
    <row r="133" spans="1:31" s="1727" customFormat="1" ht="11.25" customHeight="1">
      <c r="A133" s="771"/>
      <c r="B133" s="1406"/>
      <c r="C133" s="1406"/>
      <c r="D133" s="232"/>
      <c r="K133" s="929"/>
      <c r="L133" s="1406"/>
      <c r="M133" s="1406"/>
      <c r="N133" s="929"/>
      <c r="O133" s="929"/>
      <c r="P133" s="929"/>
      <c r="Q133" s="929"/>
      <c r="R133" s="1406"/>
      <c r="S133" s="929"/>
      <c r="T133" s="929"/>
      <c r="U133" s="402"/>
      <c r="V133" s="929"/>
      <c r="W133" s="929"/>
      <c r="X133" s="929"/>
      <c r="Y133" s="929"/>
      <c r="Z133" s="929"/>
      <c r="AA133" s="1402"/>
      <c r="AB133" s="424"/>
      <c r="AC133" s="424"/>
      <c r="AD133" s="424"/>
      <c r="AE133" s="424"/>
    </row>
    <row r="134" spans="1:31" s="1727" customFormat="1" ht="11.25" customHeight="1">
      <c r="A134" s="771"/>
      <c r="B134" s="1406"/>
      <c r="C134" s="1406"/>
      <c r="D134" s="232"/>
      <c r="K134" s="929"/>
      <c r="L134" s="1406"/>
      <c r="M134" s="1406"/>
      <c r="N134" s="929"/>
      <c r="O134" s="929"/>
      <c r="P134" s="929"/>
      <c r="Q134" s="929"/>
      <c r="R134" s="1406"/>
      <c r="S134" s="929"/>
      <c r="T134" s="929"/>
      <c r="U134" s="402"/>
      <c r="V134" s="929"/>
      <c r="W134" s="929"/>
      <c r="X134" s="929"/>
      <c r="Y134" s="929"/>
      <c r="Z134" s="929"/>
      <c r="AA134" s="1402"/>
      <c r="AB134" s="424"/>
      <c r="AC134" s="424"/>
      <c r="AD134" s="424"/>
      <c r="AE134" s="424"/>
    </row>
    <row r="135" spans="1:31" s="1727" customFormat="1" ht="11.25" customHeight="1">
      <c r="A135" s="771"/>
      <c r="B135" s="1406"/>
      <c r="C135" s="1406"/>
      <c r="D135" s="232"/>
      <c r="K135" s="929"/>
      <c r="L135" s="1406"/>
      <c r="M135" s="1406"/>
      <c r="N135" s="929"/>
      <c r="O135" s="929"/>
      <c r="P135" s="929"/>
      <c r="Q135" s="929"/>
      <c r="R135" s="1406"/>
      <c r="S135" s="929"/>
      <c r="T135" s="929"/>
      <c r="U135" s="402"/>
      <c r="V135" s="929"/>
      <c r="W135" s="929"/>
      <c r="X135" s="929"/>
      <c r="Y135" s="929"/>
      <c r="Z135" s="929"/>
      <c r="AA135" s="1402"/>
      <c r="AB135" s="424"/>
      <c r="AC135" s="424"/>
      <c r="AD135" s="424"/>
      <c r="AE135" s="424"/>
    </row>
    <row r="136" spans="1:31" s="1727" customFormat="1" ht="11.25" customHeight="1">
      <c r="A136" s="771"/>
      <c r="B136" s="1406"/>
      <c r="C136" s="1406"/>
      <c r="D136" s="232"/>
      <c r="K136" s="929"/>
      <c r="L136" s="1406"/>
      <c r="M136" s="1406"/>
      <c r="N136" s="929"/>
      <c r="O136" s="929"/>
      <c r="P136" s="929"/>
      <c r="Q136" s="929"/>
      <c r="R136" s="1406"/>
      <c r="S136" s="929"/>
      <c r="T136" s="929"/>
      <c r="U136" s="402"/>
      <c r="V136" s="929"/>
      <c r="W136" s="929"/>
      <c r="X136" s="929"/>
      <c r="Y136" s="929"/>
      <c r="Z136" s="929"/>
      <c r="AA136" s="1402"/>
      <c r="AB136" s="424"/>
      <c r="AC136" s="424"/>
      <c r="AD136" s="424"/>
      <c r="AE136" s="424"/>
    </row>
    <row r="137" spans="1:31" s="1727" customFormat="1" ht="11.25" customHeight="1">
      <c r="A137" s="771"/>
      <c r="B137" s="1406"/>
      <c r="C137" s="1406"/>
      <c r="D137" s="232"/>
      <c r="K137" s="929"/>
      <c r="L137" s="1406"/>
      <c r="M137" s="1406"/>
      <c r="N137" s="929"/>
      <c r="O137" s="929"/>
      <c r="P137" s="929"/>
      <c r="Q137" s="929"/>
      <c r="R137" s="1406"/>
      <c r="S137" s="929"/>
      <c r="T137" s="929"/>
      <c r="U137" s="402"/>
      <c r="V137" s="929"/>
      <c r="W137" s="929"/>
      <c r="X137" s="929"/>
      <c r="Y137" s="929"/>
      <c r="Z137" s="929"/>
      <c r="AA137" s="1402"/>
      <c r="AB137" s="424"/>
      <c r="AC137" s="424"/>
      <c r="AD137" s="424"/>
      <c r="AE137" s="424"/>
    </row>
    <row r="138" spans="1:31" s="1727" customFormat="1" ht="11.25" customHeight="1">
      <c r="A138" s="771"/>
      <c r="B138" s="1406"/>
      <c r="C138" s="1406"/>
      <c r="D138" s="232"/>
      <c r="K138" s="929"/>
      <c r="L138" s="1406"/>
      <c r="M138" s="1406"/>
      <c r="N138" s="929"/>
      <c r="O138" s="929"/>
      <c r="P138" s="929"/>
      <c r="Q138" s="929"/>
      <c r="R138" s="1406"/>
      <c r="S138" s="929"/>
      <c r="T138" s="929"/>
      <c r="U138" s="402"/>
      <c r="V138" s="929"/>
      <c r="W138" s="929"/>
      <c r="X138" s="929"/>
      <c r="Y138" s="929"/>
      <c r="Z138" s="929"/>
      <c r="AA138" s="1402"/>
      <c r="AB138" s="424"/>
      <c r="AC138" s="424"/>
      <c r="AD138" s="424"/>
      <c r="AE138" s="424"/>
    </row>
    <row r="139" spans="1:31" s="1727" customFormat="1" ht="11.25" customHeight="1">
      <c r="A139" s="771"/>
      <c r="B139" s="1406"/>
      <c r="C139" s="1406"/>
      <c r="D139" s="232"/>
      <c r="K139" s="929"/>
      <c r="L139" s="1406"/>
      <c r="M139" s="1406"/>
      <c r="N139" s="929"/>
      <c r="O139" s="929"/>
      <c r="P139" s="929"/>
      <c r="Q139" s="929"/>
      <c r="R139" s="1406"/>
      <c r="S139" s="929"/>
      <c r="T139" s="929"/>
      <c r="U139" s="402"/>
      <c r="V139" s="929"/>
      <c r="W139" s="929"/>
      <c r="X139" s="929"/>
      <c r="Y139" s="929"/>
      <c r="Z139" s="929"/>
      <c r="AA139" s="1402"/>
      <c r="AB139" s="424"/>
      <c r="AC139" s="424"/>
      <c r="AD139" s="424"/>
      <c r="AE139" s="424"/>
    </row>
    <row r="140" spans="1:31" s="1727" customFormat="1" ht="11.25" customHeight="1">
      <c r="A140" s="771"/>
      <c r="B140" s="1406"/>
      <c r="C140" s="1406"/>
      <c r="D140" s="232"/>
      <c r="K140" s="929"/>
      <c r="L140" s="1406"/>
      <c r="M140" s="1406"/>
      <c r="N140" s="929"/>
      <c r="O140" s="929"/>
      <c r="P140" s="929"/>
      <c r="Q140" s="929"/>
      <c r="R140" s="1406"/>
      <c r="S140" s="929"/>
      <c r="T140" s="929"/>
      <c r="U140" s="402"/>
      <c r="V140" s="929"/>
      <c r="W140" s="929"/>
      <c r="X140" s="929"/>
      <c r="Y140" s="929"/>
      <c r="Z140" s="929"/>
      <c r="AA140" s="1402"/>
      <c r="AB140" s="424"/>
      <c r="AC140" s="424"/>
      <c r="AD140" s="424"/>
      <c r="AE140" s="424"/>
    </row>
    <row r="141" spans="1:31" s="1727" customFormat="1" ht="11.25" customHeight="1">
      <c r="A141" s="771"/>
      <c r="B141" s="1406"/>
      <c r="C141" s="1406"/>
      <c r="D141" s="232"/>
      <c r="K141" s="929"/>
      <c r="L141" s="1406"/>
      <c r="M141" s="1406"/>
      <c r="N141" s="929"/>
      <c r="O141" s="929"/>
      <c r="P141" s="929"/>
      <c r="Q141" s="929"/>
      <c r="R141" s="1406"/>
      <c r="S141" s="929"/>
      <c r="T141" s="929"/>
      <c r="U141" s="402"/>
      <c r="V141" s="929"/>
      <c r="W141" s="929"/>
      <c r="X141" s="929"/>
      <c r="Y141" s="929"/>
      <c r="Z141" s="929"/>
      <c r="AA141" s="1402"/>
      <c r="AB141" s="424"/>
      <c r="AC141" s="424"/>
      <c r="AD141" s="424"/>
      <c r="AE141" s="424"/>
    </row>
    <row r="142" spans="1:31" s="1727" customFormat="1" ht="11.25" customHeight="1">
      <c r="A142" s="771"/>
      <c r="B142" s="1406"/>
      <c r="C142" s="1406"/>
      <c r="D142" s="232"/>
      <c r="K142" s="929"/>
      <c r="L142" s="1406"/>
      <c r="M142" s="1406"/>
      <c r="N142" s="929"/>
      <c r="O142" s="929"/>
      <c r="P142" s="929"/>
      <c r="Q142" s="929"/>
      <c r="R142" s="1406"/>
      <c r="S142" s="929"/>
      <c r="T142" s="929"/>
      <c r="U142" s="402"/>
      <c r="V142" s="929"/>
      <c r="W142" s="929"/>
      <c r="X142" s="929"/>
      <c r="Y142" s="929"/>
      <c r="Z142" s="929"/>
      <c r="AA142" s="1402"/>
      <c r="AB142" s="424"/>
      <c r="AC142" s="424"/>
      <c r="AD142" s="424"/>
      <c r="AE142" s="424"/>
    </row>
    <row r="143" spans="1:31" s="1727" customFormat="1" ht="11.25" customHeight="1">
      <c r="A143" s="771"/>
      <c r="B143" s="1406"/>
      <c r="C143" s="1406"/>
      <c r="D143" s="232"/>
      <c r="K143" s="929"/>
      <c r="L143" s="1406"/>
      <c r="M143" s="1406"/>
      <c r="N143" s="929"/>
      <c r="O143" s="929"/>
      <c r="P143" s="929"/>
      <c r="Q143" s="929"/>
      <c r="R143" s="1406"/>
      <c r="S143" s="929"/>
      <c r="T143" s="929"/>
      <c r="U143" s="402"/>
      <c r="V143" s="929"/>
      <c r="W143" s="929"/>
      <c r="X143" s="929"/>
      <c r="Y143" s="929"/>
      <c r="Z143" s="929"/>
      <c r="AA143" s="1402"/>
      <c r="AB143" s="424"/>
      <c r="AC143" s="424"/>
      <c r="AD143" s="424"/>
      <c r="AE143" s="424"/>
    </row>
    <row r="144" spans="1:31" s="1727" customFormat="1" ht="11.25" customHeight="1">
      <c r="A144" s="771"/>
      <c r="B144" s="1406"/>
      <c r="C144" s="1406"/>
      <c r="D144" s="232"/>
      <c r="K144" s="929"/>
      <c r="L144" s="1406"/>
      <c r="M144" s="1406"/>
      <c r="N144" s="929"/>
      <c r="O144" s="929"/>
      <c r="P144" s="929"/>
      <c r="Q144" s="929"/>
      <c r="R144" s="1406"/>
      <c r="S144" s="929"/>
      <c r="T144" s="929"/>
      <c r="U144" s="402"/>
      <c r="V144" s="929"/>
      <c r="W144" s="929"/>
      <c r="X144" s="929"/>
      <c r="Y144" s="929"/>
      <c r="Z144" s="929"/>
      <c r="AA144" s="1402"/>
      <c r="AB144" s="424"/>
      <c r="AC144" s="424"/>
      <c r="AD144" s="424"/>
      <c r="AE144" s="424"/>
    </row>
    <row r="145" spans="1:31" s="1727" customFormat="1" ht="11.25" customHeight="1">
      <c r="A145" s="771"/>
      <c r="B145" s="1406"/>
      <c r="C145" s="1406"/>
      <c r="D145" s="232"/>
      <c r="K145" s="929"/>
      <c r="L145" s="1406"/>
      <c r="M145" s="1406"/>
      <c r="N145" s="929"/>
      <c r="O145" s="929"/>
      <c r="P145" s="929"/>
      <c r="Q145" s="929"/>
      <c r="R145" s="1406"/>
      <c r="S145" s="929"/>
      <c r="T145" s="929"/>
      <c r="U145" s="402"/>
      <c r="V145" s="929"/>
      <c r="W145" s="929"/>
      <c r="X145" s="929"/>
      <c r="Y145" s="929"/>
      <c r="Z145" s="929"/>
      <c r="AA145" s="1402"/>
      <c r="AB145" s="424"/>
      <c r="AC145" s="424"/>
      <c r="AD145" s="424"/>
      <c r="AE145" s="424"/>
    </row>
    <row r="146" spans="1:31" s="1727" customFormat="1" ht="11.25" customHeight="1">
      <c r="A146" s="771"/>
      <c r="B146" s="1406"/>
      <c r="C146" s="1406"/>
      <c r="D146" s="232"/>
      <c r="K146" s="929"/>
      <c r="L146" s="1406"/>
      <c r="M146" s="1406"/>
      <c r="N146" s="929"/>
      <c r="O146" s="929"/>
      <c r="P146" s="929"/>
      <c r="Q146" s="929"/>
      <c r="R146" s="1406"/>
      <c r="S146" s="929"/>
      <c r="T146" s="929"/>
      <c r="U146" s="402"/>
      <c r="V146" s="929"/>
      <c r="W146" s="929"/>
      <c r="X146" s="929"/>
      <c r="Y146" s="929"/>
      <c r="Z146" s="929"/>
      <c r="AA146" s="1402"/>
      <c r="AB146" s="424"/>
      <c r="AC146" s="424"/>
      <c r="AD146" s="424"/>
      <c r="AE146" s="424"/>
    </row>
    <row r="147" spans="1:31" s="1727" customFormat="1" ht="11.25" customHeight="1">
      <c r="A147" s="771"/>
      <c r="B147" s="1406"/>
      <c r="C147" s="1406"/>
      <c r="D147" s="232"/>
      <c r="K147" s="929"/>
      <c r="L147" s="1406"/>
      <c r="M147" s="1406"/>
      <c r="N147" s="929"/>
      <c r="O147" s="929"/>
      <c r="P147" s="929"/>
      <c r="Q147" s="929"/>
      <c r="R147" s="1406"/>
      <c r="S147" s="929"/>
      <c r="T147" s="929"/>
      <c r="U147" s="402"/>
      <c r="V147" s="929"/>
      <c r="W147" s="929"/>
      <c r="X147" s="929"/>
      <c r="Y147" s="929"/>
      <c r="Z147" s="929"/>
      <c r="AA147" s="1402"/>
      <c r="AB147" s="424"/>
      <c r="AC147" s="424"/>
      <c r="AD147" s="424"/>
      <c r="AE147" s="424"/>
    </row>
    <row r="148" spans="1:31" s="1727" customFormat="1" ht="11.25" customHeight="1">
      <c r="A148" s="771"/>
      <c r="B148" s="1406"/>
      <c r="C148" s="1406"/>
      <c r="D148" s="232"/>
      <c r="K148" s="929"/>
      <c r="L148" s="1406"/>
      <c r="M148" s="1406"/>
      <c r="N148" s="929"/>
      <c r="O148" s="929"/>
      <c r="P148" s="929"/>
      <c r="Q148" s="929"/>
      <c r="R148" s="1406"/>
      <c r="S148" s="929"/>
      <c r="T148" s="929"/>
      <c r="U148" s="402"/>
      <c r="V148" s="929"/>
      <c r="W148" s="929"/>
      <c r="X148" s="929"/>
      <c r="Y148" s="929"/>
      <c r="Z148" s="929"/>
      <c r="AA148" s="1402"/>
      <c r="AB148" s="424"/>
      <c r="AC148" s="424"/>
      <c r="AD148" s="424"/>
      <c r="AE148" s="424"/>
    </row>
    <row r="149" spans="1:31" s="1727" customFormat="1" ht="11.25" customHeight="1">
      <c r="A149" s="771"/>
      <c r="B149" s="1406"/>
      <c r="C149" s="1406"/>
      <c r="D149" s="232"/>
      <c r="K149" s="929"/>
      <c r="L149" s="1406"/>
      <c r="M149" s="1406"/>
      <c r="N149" s="929"/>
      <c r="O149" s="929"/>
      <c r="P149" s="929"/>
      <c r="Q149" s="929"/>
      <c r="R149" s="1406"/>
      <c r="S149" s="929"/>
      <c r="T149" s="929"/>
      <c r="U149" s="402"/>
      <c r="V149" s="929"/>
      <c r="W149" s="929"/>
      <c r="X149" s="929"/>
      <c r="Y149" s="929"/>
      <c r="Z149" s="929"/>
      <c r="AA149" s="1402"/>
      <c r="AB149" s="424"/>
      <c r="AC149" s="424"/>
      <c r="AD149" s="424"/>
      <c r="AE149" s="424"/>
    </row>
    <row r="150" spans="1:31" s="1727" customFormat="1" ht="11.25" customHeight="1">
      <c r="A150" s="771"/>
      <c r="B150" s="1406"/>
      <c r="C150" s="1406"/>
      <c r="D150" s="232"/>
      <c r="K150" s="929"/>
      <c r="L150" s="1406"/>
      <c r="M150" s="1406"/>
      <c r="N150" s="929"/>
      <c r="O150" s="929"/>
      <c r="P150" s="929"/>
      <c r="Q150" s="929"/>
      <c r="R150" s="1406"/>
      <c r="S150" s="929"/>
      <c r="T150" s="929"/>
      <c r="U150" s="402"/>
      <c r="V150" s="929"/>
      <c r="W150" s="929"/>
      <c r="X150" s="929"/>
      <c r="Y150" s="929"/>
      <c r="Z150" s="929"/>
      <c r="AA150" s="1402"/>
      <c r="AB150" s="424"/>
      <c r="AC150" s="424"/>
      <c r="AD150" s="424"/>
      <c r="AE150" s="424"/>
    </row>
    <row r="151" spans="1:31" s="1727" customFormat="1" ht="11.25" customHeight="1">
      <c r="A151" s="771"/>
      <c r="B151" s="1406"/>
      <c r="C151" s="1406"/>
      <c r="D151" s="232"/>
      <c r="K151" s="929"/>
      <c r="L151" s="1406"/>
      <c r="M151" s="1406"/>
      <c r="N151" s="929"/>
      <c r="O151" s="929"/>
      <c r="P151" s="929"/>
      <c r="Q151" s="929"/>
      <c r="R151" s="1406"/>
      <c r="S151" s="929"/>
      <c r="T151" s="929"/>
      <c r="U151" s="402"/>
      <c r="V151" s="929"/>
      <c r="W151" s="929"/>
      <c r="X151" s="929"/>
      <c r="Y151" s="929"/>
      <c r="Z151" s="929"/>
      <c r="AA151" s="1402"/>
      <c r="AB151" s="424"/>
      <c r="AC151" s="424"/>
      <c r="AD151" s="424"/>
      <c r="AE151" s="424"/>
    </row>
    <row r="152" spans="1:31" s="1727" customFormat="1" ht="11.25" customHeight="1">
      <c r="A152" s="771"/>
      <c r="B152" s="1406"/>
      <c r="C152" s="1406"/>
      <c r="D152" s="232"/>
      <c r="K152" s="929"/>
      <c r="L152" s="1406"/>
      <c r="M152" s="1406"/>
      <c r="N152" s="929"/>
      <c r="O152" s="929"/>
      <c r="P152" s="929"/>
      <c r="Q152" s="929"/>
      <c r="R152" s="1406"/>
      <c r="S152" s="929"/>
      <c r="T152" s="929"/>
      <c r="U152" s="402"/>
      <c r="V152" s="929"/>
      <c r="W152" s="929"/>
      <c r="X152" s="929"/>
      <c r="Y152" s="929"/>
      <c r="Z152" s="929"/>
      <c r="AA152" s="1402"/>
      <c r="AB152" s="424"/>
      <c r="AC152" s="424"/>
      <c r="AD152" s="424"/>
      <c r="AE152" s="424"/>
    </row>
    <row r="153" spans="1:31" s="1727" customFormat="1" ht="11.25" customHeight="1">
      <c r="A153" s="771"/>
      <c r="B153" s="1406"/>
      <c r="C153" s="1406"/>
      <c r="D153" s="232"/>
      <c r="K153" s="929"/>
      <c r="L153" s="1406"/>
      <c r="M153" s="1406"/>
      <c r="N153" s="929"/>
      <c r="O153" s="929"/>
      <c r="P153" s="929"/>
      <c r="Q153" s="929"/>
      <c r="R153" s="1406"/>
      <c r="S153" s="929"/>
      <c r="T153" s="929"/>
      <c r="U153" s="402"/>
      <c r="V153" s="929"/>
      <c r="W153" s="929"/>
      <c r="X153" s="929"/>
      <c r="Y153" s="929"/>
      <c r="Z153" s="929"/>
      <c r="AA153" s="1402"/>
      <c r="AB153" s="424"/>
      <c r="AC153" s="424"/>
      <c r="AD153" s="424"/>
      <c r="AE153" s="424"/>
    </row>
    <row r="154" spans="1:31" s="1727" customFormat="1" ht="11.25" customHeight="1">
      <c r="A154" s="771"/>
      <c r="B154" s="1406"/>
      <c r="C154" s="1406"/>
      <c r="D154" s="232"/>
      <c r="K154" s="929"/>
      <c r="L154" s="1406"/>
      <c r="M154" s="1406"/>
      <c r="N154" s="929"/>
      <c r="O154" s="929"/>
      <c r="P154" s="929"/>
      <c r="Q154" s="929"/>
      <c r="R154" s="1406"/>
      <c r="S154" s="929"/>
      <c r="T154" s="929"/>
      <c r="U154" s="402"/>
      <c r="V154" s="929"/>
      <c r="W154" s="929"/>
      <c r="X154" s="929"/>
      <c r="Y154" s="929"/>
      <c r="Z154" s="929"/>
      <c r="AA154" s="1402"/>
      <c r="AB154" s="424"/>
      <c r="AC154" s="424"/>
      <c r="AD154" s="424"/>
      <c r="AE154" s="424"/>
    </row>
    <row r="155" spans="1:31" s="1727" customFormat="1" ht="11.25" customHeight="1">
      <c r="A155" s="771"/>
      <c r="B155" s="1406"/>
      <c r="C155" s="1406"/>
      <c r="D155" s="232"/>
      <c r="K155" s="929"/>
      <c r="L155" s="1406"/>
      <c r="M155" s="1406"/>
      <c r="N155" s="929"/>
      <c r="O155" s="929"/>
      <c r="P155" s="929"/>
      <c r="Q155" s="929"/>
      <c r="R155" s="1406"/>
      <c r="S155" s="929"/>
      <c r="T155" s="929"/>
      <c r="U155" s="402"/>
      <c r="V155" s="929"/>
      <c r="W155" s="929"/>
      <c r="X155" s="929"/>
      <c r="Y155" s="929"/>
      <c r="Z155" s="929"/>
      <c r="AA155" s="1402"/>
      <c r="AB155" s="424"/>
      <c r="AC155" s="424"/>
      <c r="AD155" s="424"/>
      <c r="AE155" s="424"/>
    </row>
    <row r="156" spans="1:31" s="1727" customFormat="1" ht="11.25" customHeight="1">
      <c r="A156" s="771"/>
      <c r="B156" s="1406"/>
      <c r="C156" s="1406"/>
      <c r="D156" s="232"/>
      <c r="K156" s="929"/>
      <c r="L156" s="1406"/>
      <c r="M156" s="1406"/>
      <c r="N156" s="929"/>
      <c r="O156" s="929"/>
      <c r="P156" s="929"/>
      <c r="Q156" s="929"/>
      <c r="R156" s="1406"/>
      <c r="S156" s="929"/>
      <c r="T156" s="929"/>
      <c r="U156" s="402"/>
      <c r="V156" s="929"/>
      <c r="W156" s="929"/>
      <c r="X156" s="929"/>
      <c r="Y156" s="929"/>
      <c r="Z156" s="929"/>
      <c r="AA156" s="1402"/>
      <c r="AB156" s="424"/>
      <c r="AC156" s="424"/>
      <c r="AD156" s="424"/>
      <c r="AE156" s="424"/>
    </row>
    <row r="157" spans="1:31" s="1727" customFormat="1" ht="11.25" customHeight="1">
      <c r="A157" s="771"/>
      <c r="B157" s="1406"/>
      <c r="C157" s="1406"/>
      <c r="D157" s="232"/>
      <c r="K157" s="929"/>
      <c r="L157" s="1406"/>
      <c r="M157" s="1406"/>
      <c r="N157" s="929"/>
      <c r="O157" s="929"/>
      <c r="P157" s="929"/>
      <c r="Q157" s="929"/>
      <c r="R157" s="1406"/>
      <c r="S157" s="929"/>
      <c r="T157" s="929"/>
      <c r="U157" s="402"/>
      <c r="V157" s="929"/>
      <c r="W157" s="929"/>
      <c r="X157" s="929"/>
      <c r="Y157" s="929"/>
      <c r="Z157" s="929"/>
      <c r="AA157" s="1402"/>
      <c r="AB157" s="424"/>
      <c r="AC157" s="424"/>
      <c r="AD157" s="424"/>
      <c r="AE157" s="424"/>
    </row>
    <row r="158" spans="1:31" s="1727" customFormat="1" ht="11.25" customHeight="1">
      <c r="A158" s="771"/>
      <c r="B158" s="1406"/>
      <c r="C158" s="1406"/>
      <c r="D158" s="232"/>
      <c r="K158" s="929"/>
      <c r="L158" s="1406"/>
      <c r="M158" s="1406"/>
      <c r="N158" s="929"/>
      <c r="O158" s="929"/>
      <c r="P158" s="929"/>
      <c r="Q158" s="929"/>
      <c r="R158" s="1406"/>
      <c r="S158" s="929"/>
      <c r="T158" s="929"/>
      <c r="U158" s="402"/>
      <c r="V158" s="929"/>
      <c r="W158" s="929"/>
      <c r="X158" s="929"/>
      <c r="Y158" s="929"/>
      <c r="Z158" s="929"/>
      <c r="AA158" s="1402"/>
      <c r="AB158" s="424"/>
      <c r="AC158" s="424"/>
      <c r="AD158" s="424"/>
      <c r="AE158" s="424"/>
    </row>
    <row r="159" spans="1:31" s="1727" customFormat="1" ht="11.25" customHeight="1">
      <c r="A159" s="771"/>
      <c r="B159" s="1406"/>
      <c r="C159" s="1406"/>
      <c r="D159" s="232"/>
      <c r="K159" s="929"/>
      <c r="L159" s="1406"/>
      <c r="M159" s="1406"/>
      <c r="N159" s="929"/>
      <c r="O159" s="929"/>
      <c r="P159" s="929"/>
      <c r="Q159" s="929"/>
      <c r="R159" s="1406"/>
      <c r="S159" s="929"/>
      <c r="T159" s="929"/>
      <c r="U159" s="402"/>
      <c r="V159" s="929"/>
      <c r="W159" s="929"/>
      <c r="X159" s="929"/>
      <c r="Y159" s="929"/>
      <c r="Z159" s="929"/>
      <c r="AA159" s="1402"/>
      <c r="AB159" s="424"/>
      <c r="AC159" s="424"/>
      <c r="AD159" s="424"/>
      <c r="AE159" s="424"/>
    </row>
    <row r="160" spans="1:31" s="1727" customFormat="1" ht="11.25" customHeight="1">
      <c r="A160" s="771"/>
      <c r="B160" s="1406"/>
      <c r="C160" s="1406"/>
      <c r="D160" s="232"/>
      <c r="K160" s="929"/>
      <c r="L160" s="1406"/>
      <c r="M160" s="1406"/>
      <c r="N160" s="929"/>
      <c r="O160" s="929"/>
      <c r="P160" s="929"/>
      <c r="Q160" s="929"/>
      <c r="R160" s="1406"/>
      <c r="S160" s="929"/>
      <c r="T160" s="929"/>
      <c r="U160" s="402"/>
      <c r="V160" s="929"/>
      <c r="W160" s="929"/>
      <c r="X160" s="929"/>
      <c r="Y160" s="929"/>
      <c r="Z160" s="929"/>
      <c r="AA160" s="1402"/>
      <c r="AB160" s="424"/>
      <c r="AC160" s="424"/>
      <c r="AD160" s="424"/>
      <c r="AE160" s="424"/>
    </row>
    <row r="161" spans="1:31" s="1727" customFormat="1" ht="11.25" customHeight="1">
      <c r="A161" s="771"/>
      <c r="B161" s="1406"/>
      <c r="C161" s="1406"/>
      <c r="D161" s="232"/>
      <c r="K161" s="929"/>
      <c r="L161" s="1406"/>
      <c r="M161" s="1406"/>
      <c r="N161" s="929"/>
      <c r="O161" s="929"/>
      <c r="P161" s="929"/>
      <c r="Q161" s="929"/>
      <c r="R161" s="1406"/>
      <c r="S161" s="929"/>
      <c r="T161" s="929"/>
      <c r="U161" s="402"/>
      <c r="V161" s="929"/>
      <c r="W161" s="929"/>
      <c r="X161" s="929"/>
      <c r="Y161" s="929"/>
      <c r="Z161" s="929"/>
      <c r="AA161" s="1402"/>
      <c r="AB161" s="424"/>
      <c r="AC161" s="424"/>
      <c r="AD161" s="424"/>
      <c r="AE161" s="424"/>
    </row>
    <row r="162" spans="1:31" s="1727" customFormat="1" ht="11.25" customHeight="1">
      <c r="A162" s="771"/>
      <c r="B162" s="1406"/>
      <c r="C162" s="1406"/>
      <c r="D162" s="232"/>
      <c r="K162" s="929"/>
      <c r="L162" s="1406"/>
      <c r="M162" s="1406"/>
      <c r="N162" s="929"/>
      <c r="O162" s="929"/>
      <c r="P162" s="929"/>
      <c r="Q162" s="929"/>
      <c r="R162" s="1406"/>
      <c r="S162" s="929"/>
      <c r="T162" s="929"/>
      <c r="U162" s="402"/>
      <c r="V162" s="929"/>
      <c r="W162" s="929"/>
      <c r="X162" s="929"/>
      <c r="Y162" s="929"/>
      <c r="Z162" s="929"/>
      <c r="AA162" s="1402"/>
      <c r="AB162" s="424"/>
      <c r="AC162" s="424"/>
      <c r="AD162" s="424"/>
      <c r="AE162" s="424"/>
    </row>
    <row r="163" spans="1:31" s="1727" customFormat="1" ht="11.25" customHeight="1">
      <c r="A163" s="771"/>
      <c r="B163" s="1406"/>
      <c r="C163" s="1406"/>
      <c r="D163" s="232"/>
      <c r="K163" s="929"/>
      <c r="L163" s="1406"/>
      <c r="M163" s="1406"/>
      <c r="N163" s="929"/>
      <c r="O163" s="929"/>
      <c r="P163" s="929"/>
      <c r="Q163" s="929"/>
      <c r="R163" s="1406"/>
      <c r="S163" s="929"/>
      <c r="T163" s="929"/>
      <c r="U163" s="402"/>
      <c r="V163" s="929"/>
      <c r="W163" s="929"/>
      <c r="X163" s="929"/>
      <c r="Y163" s="929"/>
      <c r="Z163" s="929"/>
      <c r="AA163" s="1402"/>
      <c r="AB163" s="424"/>
      <c r="AC163" s="424"/>
      <c r="AD163" s="424"/>
      <c r="AE163" s="424"/>
    </row>
    <row r="164" spans="1:31" s="1727" customFormat="1" ht="11.25" customHeight="1">
      <c r="A164" s="771"/>
      <c r="B164" s="1406"/>
      <c r="C164" s="1406"/>
      <c r="D164" s="232"/>
      <c r="K164" s="929"/>
      <c r="L164" s="1406"/>
      <c r="M164" s="1406"/>
      <c r="N164" s="929"/>
      <c r="O164" s="929"/>
      <c r="P164" s="929"/>
      <c r="Q164" s="929"/>
      <c r="R164" s="1406"/>
      <c r="S164" s="929"/>
      <c r="T164" s="929"/>
      <c r="U164" s="402"/>
      <c r="V164" s="929"/>
      <c r="W164" s="929"/>
      <c r="X164" s="929"/>
      <c r="Y164" s="929"/>
      <c r="Z164" s="929"/>
      <c r="AA164" s="1402"/>
      <c r="AB164" s="424"/>
      <c r="AC164" s="424"/>
      <c r="AD164" s="424"/>
      <c r="AE164" s="424"/>
    </row>
    <row r="165" spans="1:31" s="1727" customFormat="1" ht="11.25" customHeight="1">
      <c r="A165" s="771"/>
      <c r="B165" s="1406"/>
      <c r="C165" s="1406"/>
      <c r="D165" s="232"/>
      <c r="K165" s="929"/>
      <c r="L165" s="1406"/>
      <c r="M165" s="1406"/>
      <c r="N165" s="929"/>
      <c r="O165" s="929"/>
      <c r="P165" s="929"/>
      <c r="Q165" s="929"/>
      <c r="R165" s="1406"/>
      <c r="S165" s="929"/>
      <c r="T165" s="929"/>
      <c r="U165" s="402"/>
      <c r="V165" s="929"/>
      <c r="W165" s="929"/>
      <c r="X165" s="929"/>
      <c r="Y165" s="929"/>
      <c r="Z165" s="929"/>
      <c r="AA165" s="1402"/>
      <c r="AB165" s="424"/>
      <c r="AC165" s="424"/>
      <c r="AD165" s="424"/>
      <c r="AE165" s="424"/>
    </row>
    <row r="166" spans="1:31" s="1727" customFormat="1" ht="11.25" customHeight="1">
      <c r="A166" s="771"/>
      <c r="B166" s="1406"/>
      <c r="C166" s="1406"/>
      <c r="D166" s="232"/>
      <c r="K166" s="929"/>
      <c r="L166" s="1406"/>
      <c r="M166" s="1406"/>
      <c r="N166" s="929"/>
      <c r="O166" s="929"/>
      <c r="P166" s="929"/>
      <c r="Q166" s="929"/>
      <c r="R166" s="1406"/>
      <c r="S166" s="929"/>
      <c r="T166" s="929"/>
      <c r="U166" s="402"/>
      <c r="V166" s="929"/>
      <c r="W166" s="929"/>
      <c r="X166" s="929"/>
      <c r="Y166" s="929"/>
      <c r="Z166" s="929"/>
      <c r="AA166" s="1402"/>
      <c r="AB166" s="424"/>
      <c r="AC166" s="424"/>
      <c r="AD166" s="424"/>
      <c r="AE166" s="424"/>
    </row>
    <row r="167" spans="1:31" s="1727" customFormat="1" ht="11.25" customHeight="1">
      <c r="A167" s="771"/>
      <c r="B167" s="1406"/>
      <c r="C167" s="1406"/>
      <c r="D167" s="232"/>
      <c r="K167" s="929"/>
      <c r="L167" s="1406"/>
      <c r="M167" s="1406"/>
      <c r="N167" s="929"/>
      <c r="O167" s="929"/>
      <c r="P167" s="929"/>
      <c r="Q167" s="929"/>
      <c r="R167" s="1406"/>
      <c r="S167" s="929"/>
      <c r="T167" s="929"/>
      <c r="U167" s="402"/>
      <c r="V167" s="929"/>
      <c r="W167" s="929"/>
      <c r="X167" s="929"/>
      <c r="Y167" s="929"/>
      <c r="Z167" s="929"/>
      <c r="AA167" s="1402"/>
      <c r="AB167" s="424"/>
      <c r="AC167" s="424"/>
      <c r="AD167" s="424"/>
      <c r="AE167" s="424"/>
    </row>
    <row r="168" spans="1:31" s="1727" customFormat="1" ht="11.25" customHeight="1">
      <c r="A168" s="771"/>
      <c r="B168" s="1406"/>
      <c r="C168" s="1406"/>
      <c r="D168" s="232"/>
      <c r="K168" s="929"/>
      <c r="L168" s="1406"/>
      <c r="M168" s="1406"/>
      <c r="N168" s="929"/>
      <c r="O168" s="929"/>
      <c r="P168" s="929"/>
      <c r="Q168" s="929"/>
      <c r="R168" s="1406"/>
      <c r="S168" s="929"/>
      <c r="T168" s="929"/>
      <c r="U168" s="402"/>
      <c r="V168" s="929"/>
      <c r="W168" s="929"/>
      <c r="X168" s="929"/>
      <c r="Y168" s="929"/>
      <c r="Z168" s="929"/>
      <c r="AA168" s="1402"/>
      <c r="AB168" s="424"/>
      <c r="AC168" s="424"/>
      <c r="AD168" s="424"/>
      <c r="AE168" s="424"/>
    </row>
    <row r="169" spans="1:31" s="1727" customFormat="1" ht="11.25" customHeight="1">
      <c r="A169" s="771"/>
      <c r="B169" s="1406"/>
      <c r="C169" s="1406"/>
      <c r="D169" s="232"/>
      <c r="K169" s="929"/>
      <c r="L169" s="1406"/>
      <c r="M169" s="1406"/>
      <c r="N169" s="929"/>
      <c r="O169" s="929"/>
      <c r="P169" s="929"/>
      <c r="Q169" s="929"/>
      <c r="R169" s="1406"/>
      <c r="S169" s="929"/>
      <c r="T169" s="929"/>
      <c r="U169" s="402"/>
      <c r="V169" s="929"/>
      <c r="W169" s="929"/>
      <c r="X169" s="929"/>
      <c r="Y169" s="929"/>
      <c r="Z169" s="929"/>
      <c r="AA169" s="1402"/>
      <c r="AB169" s="424"/>
      <c r="AC169" s="424"/>
      <c r="AD169" s="424"/>
      <c r="AE169" s="424"/>
    </row>
    <row r="170" spans="1:31" s="1727" customFormat="1" ht="11.25" customHeight="1">
      <c r="A170" s="771"/>
      <c r="B170" s="1406"/>
      <c r="C170" s="1406"/>
      <c r="D170" s="232"/>
      <c r="K170" s="929"/>
      <c r="L170" s="1406"/>
      <c r="M170" s="1406"/>
      <c r="N170" s="929"/>
      <c r="O170" s="929"/>
      <c r="P170" s="929"/>
      <c r="Q170" s="929"/>
      <c r="R170" s="1406"/>
      <c r="S170" s="929"/>
      <c r="T170" s="929"/>
      <c r="U170" s="402"/>
      <c r="V170" s="929"/>
      <c r="W170" s="929"/>
      <c r="X170" s="929"/>
      <c r="Y170" s="929"/>
      <c r="Z170" s="929"/>
      <c r="AA170" s="1402"/>
      <c r="AB170" s="424"/>
      <c r="AC170" s="424"/>
      <c r="AD170" s="424"/>
      <c r="AE170" s="424"/>
    </row>
    <row r="171" spans="1:31" s="1727" customFormat="1" ht="11.25" customHeight="1">
      <c r="A171" s="771"/>
      <c r="B171" s="1406"/>
      <c r="C171" s="1406"/>
      <c r="D171" s="232"/>
      <c r="K171" s="929"/>
      <c r="L171" s="1406"/>
      <c r="M171" s="1406"/>
      <c r="N171" s="929"/>
      <c r="O171" s="929"/>
      <c r="P171" s="929"/>
      <c r="Q171" s="929"/>
      <c r="R171" s="1406"/>
      <c r="S171" s="929"/>
      <c r="T171" s="929"/>
      <c r="U171" s="402"/>
      <c r="V171" s="929"/>
      <c r="W171" s="929"/>
      <c r="X171" s="929"/>
      <c r="Y171" s="929"/>
      <c r="Z171" s="929"/>
      <c r="AA171" s="1402"/>
      <c r="AB171" s="424"/>
      <c r="AC171" s="424"/>
      <c r="AD171" s="424"/>
      <c r="AE171" s="424"/>
    </row>
    <row r="172" spans="1:31" s="1727" customFormat="1" ht="11.25" customHeight="1">
      <c r="A172" s="771"/>
      <c r="B172" s="1406"/>
      <c r="C172" s="1406"/>
      <c r="D172" s="232"/>
      <c r="K172" s="929"/>
      <c r="L172" s="1406"/>
      <c r="M172" s="1406"/>
      <c r="N172" s="929"/>
      <c r="O172" s="929"/>
      <c r="P172" s="929"/>
      <c r="Q172" s="929"/>
      <c r="R172" s="1406"/>
      <c r="S172" s="929"/>
      <c r="T172" s="929"/>
      <c r="U172" s="402"/>
      <c r="V172" s="929"/>
      <c r="W172" s="929"/>
      <c r="X172" s="929"/>
      <c r="Y172" s="929"/>
      <c r="Z172" s="929"/>
      <c r="AA172" s="1402"/>
      <c r="AB172" s="424"/>
      <c r="AC172" s="424"/>
      <c r="AD172" s="424"/>
      <c r="AE172" s="424"/>
    </row>
    <row r="173" spans="1:31" s="1727" customFormat="1" ht="11.25" customHeight="1">
      <c r="A173" s="771"/>
      <c r="B173" s="1406"/>
      <c r="C173" s="1406"/>
      <c r="D173" s="232"/>
      <c r="K173" s="929"/>
      <c r="L173" s="1406"/>
      <c r="M173" s="1406"/>
      <c r="N173" s="929"/>
      <c r="O173" s="929"/>
      <c r="P173" s="929"/>
      <c r="Q173" s="929"/>
      <c r="R173" s="1406"/>
      <c r="S173" s="929"/>
      <c r="T173" s="929"/>
      <c r="U173" s="402"/>
      <c r="V173" s="929"/>
      <c r="W173" s="929"/>
      <c r="X173" s="929"/>
      <c r="Y173" s="929"/>
      <c r="Z173" s="929"/>
      <c r="AA173" s="1402"/>
      <c r="AB173" s="424"/>
      <c r="AC173" s="424"/>
      <c r="AD173" s="424"/>
      <c r="AE173" s="424"/>
    </row>
    <row r="174" spans="1:31" s="1727" customFormat="1" ht="11.25" customHeight="1">
      <c r="A174" s="771"/>
      <c r="B174" s="1406"/>
      <c r="C174" s="1406"/>
      <c r="D174" s="232"/>
      <c r="K174" s="929"/>
      <c r="L174" s="1406"/>
      <c r="M174" s="1406"/>
      <c r="N174" s="929"/>
      <c r="O174" s="929"/>
      <c r="P174" s="929"/>
      <c r="Q174" s="929"/>
      <c r="R174" s="1406"/>
      <c r="S174" s="929"/>
      <c r="T174" s="929"/>
      <c r="U174" s="402"/>
      <c r="V174" s="929"/>
      <c r="W174" s="929"/>
      <c r="X174" s="929"/>
      <c r="Y174" s="929"/>
      <c r="Z174" s="929"/>
      <c r="AA174" s="1402"/>
      <c r="AB174" s="424"/>
      <c r="AC174" s="424"/>
      <c r="AD174" s="424"/>
      <c r="AE174" s="424"/>
    </row>
    <row r="175" spans="1:31" s="1727" customFormat="1" ht="11.25" customHeight="1">
      <c r="A175" s="771"/>
      <c r="B175" s="1406"/>
      <c r="C175" s="1406"/>
      <c r="D175" s="232"/>
      <c r="K175" s="929"/>
      <c r="L175" s="1406"/>
      <c r="M175" s="1406"/>
      <c r="N175" s="929"/>
      <c r="O175" s="929"/>
      <c r="P175" s="929"/>
      <c r="Q175" s="929"/>
      <c r="R175" s="1406"/>
      <c r="S175" s="929"/>
      <c r="T175" s="929"/>
      <c r="U175" s="402"/>
      <c r="V175" s="929"/>
      <c r="W175" s="929"/>
      <c r="X175" s="929"/>
      <c r="Y175" s="929"/>
      <c r="Z175" s="929"/>
      <c r="AA175" s="1402"/>
      <c r="AB175" s="424"/>
      <c r="AC175" s="424"/>
      <c r="AD175" s="424"/>
      <c r="AE175" s="424"/>
    </row>
    <row r="176" spans="1:31" s="1727" customFormat="1" ht="11.25" customHeight="1">
      <c r="A176" s="771"/>
      <c r="B176" s="1406"/>
      <c r="C176" s="1406"/>
      <c r="D176" s="232"/>
      <c r="K176" s="929"/>
      <c r="L176" s="1406"/>
      <c r="M176" s="1406"/>
      <c r="N176" s="929"/>
      <c r="O176" s="929"/>
      <c r="P176" s="929"/>
      <c r="Q176" s="929"/>
      <c r="R176" s="1406"/>
      <c r="S176" s="929"/>
      <c r="T176" s="929"/>
      <c r="U176" s="402"/>
      <c r="V176" s="929"/>
      <c r="W176" s="929"/>
      <c r="X176" s="929"/>
      <c r="Y176" s="929"/>
      <c r="Z176" s="929"/>
      <c r="AA176" s="1402"/>
      <c r="AB176" s="424"/>
      <c r="AC176" s="424"/>
      <c r="AD176" s="424"/>
      <c r="AE176" s="424"/>
    </row>
    <row r="177" spans="1:31" s="1727" customFormat="1" ht="11.25" customHeight="1">
      <c r="A177" s="771"/>
      <c r="B177" s="1406"/>
      <c r="C177" s="1406"/>
      <c r="D177" s="232"/>
      <c r="K177" s="929"/>
      <c r="L177" s="1406"/>
      <c r="M177" s="1406"/>
      <c r="N177" s="929"/>
      <c r="O177" s="929"/>
      <c r="P177" s="929"/>
      <c r="Q177" s="929"/>
      <c r="R177" s="1406"/>
      <c r="S177" s="929"/>
      <c r="T177" s="929"/>
      <c r="U177" s="402"/>
      <c r="V177" s="929"/>
      <c r="W177" s="929"/>
      <c r="X177" s="929"/>
      <c r="Y177" s="929"/>
      <c r="Z177" s="929"/>
      <c r="AA177" s="1402"/>
      <c r="AB177" s="424"/>
      <c r="AC177" s="424"/>
      <c r="AD177" s="424"/>
      <c r="AE177" s="424"/>
    </row>
    <row r="178" spans="1:31" s="1727" customFormat="1" ht="11.25" customHeight="1">
      <c r="A178" s="771"/>
      <c r="B178" s="1406"/>
      <c r="C178" s="1406"/>
      <c r="D178" s="232"/>
      <c r="K178" s="929"/>
      <c r="L178" s="1406"/>
      <c r="M178" s="1406"/>
      <c r="N178" s="929"/>
      <c r="O178" s="929"/>
      <c r="P178" s="929"/>
      <c r="Q178" s="929"/>
      <c r="R178" s="1406"/>
      <c r="S178" s="929"/>
      <c r="T178" s="929"/>
      <c r="U178" s="402"/>
      <c r="V178" s="929"/>
      <c r="W178" s="929"/>
      <c r="X178" s="929"/>
      <c r="Y178" s="929"/>
      <c r="Z178" s="929"/>
      <c r="AA178" s="1402"/>
      <c r="AB178" s="424"/>
      <c r="AC178" s="424"/>
      <c r="AD178" s="424"/>
      <c r="AE178" s="424"/>
    </row>
    <row r="179" spans="1:31" s="1727" customFormat="1" ht="11.25" customHeight="1">
      <c r="A179" s="771"/>
      <c r="B179" s="1406"/>
      <c r="C179" s="1406"/>
      <c r="D179" s="232"/>
      <c r="K179" s="929"/>
      <c r="L179" s="1406"/>
      <c r="M179" s="1406"/>
      <c r="N179" s="929"/>
      <c r="O179" s="929"/>
      <c r="P179" s="929"/>
      <c r="Q179" s="929"/>
      <c r="R179" s="1406"/>
      <c r="S179" s="929"/>
      <c r="T179" s="929"/>
      <c r="U179" s="402"/>
      <c r="V179" s="929"/>
      <c r="W179" s="929"/>
      <c r="X179" s="929"/>
      <c r="Y179" s="929"/>
      <c r="Z179" s="929"/>
      <c r="AA179" s="1402"/>
      <c r="AB179" s="424"/>
      <c r="AC179" s="424"/>
      <c r="AD179" s="424"/>
      <c r="AE179" s="424"/>
    </row>
    <row r="180" spans="1:31" s="1727" customFormat="1" ht="11.25" customHeight="1">
      <c r="A180" s="771"/>
      <c r="B180" s="1406"/>
      <c r="C180" s="1406"/>
      <c r="D180" s="232"/>
      <c r="K180" s="929"/>
      <c r="L180" s="1406"/>
      <c r="M180" s="1406"/>
      <c r="N180" s="929"/>
      <c r="O180" s="929"/>
      <c r="P180" s="929"/>
      <c r="Q180" s="929"/>
      <c r="R180" s="1406"/>
      <c r="S180" s="929"/>
      <c r="T180" s="929"/>
      <c r="U180" s="402"/>
      <c r="V180" s="929"/>
      <c r="W180" s="929"/>
      <c r="X180" s="929"/>
      <c r="Y180" s="929"/>
      <c r="Z180" s="929"/>
      <c r="AA180" s="1402"/>
      <c r="AB180" s="424"/>
      <c r="AC180" s="424"/>
      <c r="AD180" s="424"/>
      <c r="AE180" s="424"/>
    </row>
    <row r="181" spans="1:31" s="1727" customFormat="1" ht="11.25" customHeight="1">
      <c r="A181" s="771"/>
      <c r="B181" s="1406"/>
      <c r="C181" s="1406"/>
      <c r="D181" s="232"/>
      <c r="K181" s="929"/>
      <c r="L181" s="1406"/>
      <c r="M181" s="1406"/>
      <c r="N181" s="929"/>
      <c r="O181" s="929"/>
      <c r="P181" s="929"/>
      <c r="Q181" s="929"/>
      <c r="R181" s="1406"/>
      <c r="S181" s="929"/>
      <c r="T181" s="929"/>
      <c r="U181" s="402"/>
      <c r="V181" s="929"/>
      <c r="W181" s="929"/>
      <c r="X181" s="929"/>
      <c r="Y181" s="929"/>
      <c r="Z181" s="929"/>
      <c r="AA181" s="1402"/>
      <c r="AB181" s="424"/>
      <c r="AC181" s="424"/>
      <c r="AD181" s="424"/>
      <c r="AE181" s="424"/>
    </row>
    <row r="182" spans="1:31" s="1727" customFormat="1" ht="11.25" customHeight="1">
      <c r="A182" s="771"/>
      <c r="B182" s="1406"/>
      <c r="C182" s="1406"/>
      <c r="D182" s="232"/>
      <c r="K182" s="929"/>
      <c r="L182" s="1406"/>
      <c r="M182" s="1406"/>
      <c r="N182" s="929"/>
      <c r="O182" s="929"/>
      <c r="P182" s="929"/>
      <c r="Q182" s="929"/>
      <c r="R182" s="1406"/>
      <c r="S182" s="929"/>
      <c r="T182" s="929"/>
      <c r="U182" s="402"/>
      <c r="V182" s="929"/>
      <c r="W182" s="929"/>
      <c r="X182" s="929"/>
      <c r="Y182" s="929"/>
      <c r="Z182" s="929"/>
      <c r="AA182" s="1402"/>
      <c r="AB182" s="424"/>
      <c r="AC182" s="424"/>
      <c r="AD182" s="424"/>
      <c r="AE182" s="424"/>
    </row>
    <row r="183" spans="1:31" s="1727" customFormat="1" ht="11.25" customHeight="1">
      <c r="A183" s="771"/>
      <c r="B183" s="1406"/>
      <c r="C183" s="1406"/>
      <c r="D183" s="232"/>
      <c r="K183" s="929"/>
      <c r="L183" s="1406"/>
      <c r="M183" s="1406"/>
      <c r="N183" s="929"/>
      <c r="O183" s="929"/>
      <c r="P183" s="929"/>
      <c r="Q183" s="929"/>
      <c r="R183" s="1406"/>
      <c r="S183" s="929"/>
      <c r="T183" s="929"/>
      <c r="U183" s="402"/>
      <c r="V183" s="929"/>
      <c r="W183" s="929"/>
      <c r="X183" s="929"/>
      <c r="Y183" s="929"/>
      <c r="Z183" s="929"/>
      <c r="AA183" s="1402"/>
      <c r="AB183" s="424"/>
      <c r="AC183" s="424"/>
      <c r="AD183" s="424"/>
      <c r="AE183" s="424"/>
    </row>
    <row r="184" spans="1:31" s="1727" customFormat="1" ht="11.25" customHeight="1">
      <c r="A184" s="771"/>
      <c r="B184" s="1406"/>
      <c r="C184" s="1406"/>
      <c r="D184" s="232"/>
      <c r="K184" s="929"/>
      <c r="L184" s="1406"/>
      <c r="M184" s="1406"/>
      <c r="N184" s="929"/>
      <c r="O184" s="929"/>
      <c r="P184" s="929"/>
      <c r="Q184" s="929"/>
      <c r="R184" s="1406"/>
      <c r="S184" s="929"/>
      <c r="T184" s="929"/>
      <c r="U184" s="402"/>
      <c r="V184" s="929"/>
      <c r="W184" s="929"/>
      <c r="X184" s="929"/>
      <c r="Y184" s="929"/>
      <c r="Z184" s="929"/>
      <c r="AA184" s="1402"/>
      <c r="AB184" s="424"/>
      <c r="AC184" s="424"/>
      <c r="AD184" s="424"/>
      <c r="AE184" s="424"/>
    </row>
    <row r="185" spans="1:31" s="1727" customFormat="1" ht="11.25" customHeight="1">
      <c r="A185" s="771"/>
      <c r="B185" s="1406"/>
      <c r="C185" s="1406"/>
      <c r="D185" s="232"/>
      <c r="K185" s="929"/>
      <c r="L185" s="1406"/>
      <c r="M185" s="1406"/>
      <c r="N185" s="929"/>
      <c r="O185" s="929"/>
      <c r="P185" s="929"/>
      <c r="Q185" s="929"/>
      <c r="R185" s="1406"/>
      <c r="S185" s="929"/>
      <c r="T185" s="929"/>
      <c r="U185" s="402"/>
      <c r="V185" s="929"/>
      <c r="W185" s="929"/>
      <c r="X185" s="929"/>
      <c r="Y185" s="929"/>
      <c r="Z185" s="929"/>
      <c r="AA185" s="1402"/>
      <c r="AB185" s="424"/>
      <c r="AC185" s="424"/>
      <c r="AD185" s="424"/>
      <c r="AE185" s="424"/>
    </row>
    <row r="186" spans="1:31" s="1727" customFormat="1" ht="11.25" customHeight="1">
      <c r="A186" s="771"/>
      <c r="B186" s="1406"/>
      <c r="C186" s="1406"/>
      <c r="D186" s="232"/>
      <c r="K186" s="929"/>
      <c r="L186" s="1406"/>
      <c r="M186" s="1406"/>
      <c r="N186" s="929"/>
      <c r="O186" s="929"/>
      <c r="P186" s="929"/>
      <c r="Q186" s="929"/>
      <c r="R186" s="1406"/>
      <c r="S186" s="929"/>
      <c r="T186" s="929"/>
      <c r="U186" s="402"/>
      <c r="V186" s="929"/>
      <c r="W186" s="929"/>
      <c r="X186" s="929"/>
      <c r="Y186" s="929"/>
      <c r="Z186" s="929"/>
      <c r="AA186" s="1402"/>
      <c r="AB186" s="424"/>
      <c r="AC186" s="424"/>
      <c r="AD186" s="424"/>
      <c r="AE186" s="424"/>
    </row>
    <row r="187" spans="1:31" s="1727" customFormat="1" ht="11.25" customHeight="1">
      <c r="A187" s="771"/>
      <c r="B187" s="1406"/>
      <c r="C187" s="1406"/>
      <c r="D187" s="232"/>
      <c r="K187" s="929"/>
      <c r="L187" s="1406"/>
      <c r="M187" s="1406"/>
      <c r="N187" s="929"/>
      <c r="O187" s="929"/>
      <c r="P187" s="929"/>
      <c r="Q187" s="929"/>
      <c r="R187" s="1406"/>
      <c r="S187" s="929"/>
      <c r="T187" s="929"/>
      <c r="U187" s="402"/>
      <c r="V187" s="929"/>
      <c r="W187" s="929"/>
      <c r="X187" s="929"/>
      <c r="Y187" s="929"/>
      <c r="Z187" s="929"/>
      <c r="AA187" s="1402"/>
      <c r="AB187" s="424"/>
      <c r="AC187" s="424"/>
      <c r="AD187" s="424"/>
      <c r="AE187" s="424"/>
    </row>
    <row r="188" spans="1:31" s="1727" customFormat="1" ht="11.25" customHeight="1">
      <c r="A188" s="771"/>
      <c r="B188" s="1406"/>
      <c r="C188" s="1406"/>
      <c r="D188" s="232"/>
      <c r="K188" s="929"/>
      <c r="L188" s="1406"/>
      <c r="M188" s="1406"/>
      <c r="N188" s="929"/>
      <c r="O188" s="929"/>
      <c r="P188" s="929"/>
      <c r="Q188" s="929"/>
      <c r="R188" s="1406"/>
      <c r="S188" s="929"/>
      <c r="T188" s="929"/>
      <c r="U188" s="402"/>
      <c r="V188" s="929"/>
      <c r="W188" s="929"/>
      <c r="X188" s="929"/>
      <c r="Y188" s="929"/>
      <c r="Z188" s="929"/>
      <c r="AA188" s="1402"/>
      <c r="AB188" s="424"/>
      <c r="AC188" s="424"/>
      <c r="AD188" s="424"/>
      <c r="AE188" s="424"/>
    </row>
    <row r="189" spans="1:31" s="1727" customFormat="1" ht="11.25" customHeight="1">
      <c r="A189" s="771"/>
      <c r="B189" s="1406"/>
      <c r="C189" s="1406"/>
      <c r="D189" s="232"/>
      <c r="K189" s="929"/>
      <c r="L189" s="1406"/>
      <c r="M189" s="1406"/>
      <c r="N189" s="929"/>
      <c r="O189" s="929"/>
      <c r="P189" s="929"/>
      <c r="Q189" s="929"/>
      <c r="R189" s="1406"/>
      <c r="S189" s="929"/>
      <c r="T189" s="929"/>
      <c r="U189" s="402"/>
      <c r="V189" s="929"/>
      <c r="W189" s="929"/>
      <c r="X189" s="929"/>
      <c r="Y189" s="929"/>
      <c r="Z189" s="929"/>
      <c r="AA189" s="1402"/>
      <c r="AB189" s="424"/>
      <c r="AC189" s="424"/>
      <c r="AD189" s="424"/>
      <c r="AE189" s="424"/>
    </row>
    <row r="190" spans="1:31" s="1727" customFormat="1" ht="11.25" customHeight="1">
      <c r="A190" s="771"/>
      <c r="B190" s="1406"/>
      <c r="C190" s="1406"/>
      <c r="D190" s="232"/>
      <c r="K190" s="929"/>
      <c r="L190" s="1406"/>
      <c r="M190" s="1406"/>
      <c r="N190" s="929"/>
      <c r="O190" s="929"/>
      <c r="P190" s="929"/>
      <c r="Q190" s="929"/>
      <c r="R190" s="1406"/>
      <c r="S190" s="929"/>
      <c r="T190" s="929"/>
      <c r="U190" s="402"/>
      <c r="V190" s="929"/>
      <c r="W190" s="929"/>
      <c r="X190" s="929"/>
      <c r="Y190" s="929"/>
      <c r="Z190" s="929"/>
      <c r="AA190" s="1402"/>
      <c r="AB190" s="424"/>
      <c r="AC190" s="424"/>
      <c r="AD190" s="424"/>
      <c r="AE190" s="424"/>
    </row>
    <row r="191" spans="1:31" s="1727" customFormat="1" ht="11.25" customHeight="1">
      <c r="A191" s="771"/>
      <c r="B191" s="1406"/>
      <c r="C191" s="1406"/>
      <c r="D191" s="232"/>
      <c r="K191" s="929"/>
      <c r="L191" s="1406"/>
      <c r="M191" s="1406"/>
      <c r="N191" s="929"/>
      <c r="O191" s="929"/>
      <c r="P191" s="929"/>
      <c r="Q191" s="929"/>
      <c r="R191" s="1406"/>
      <c r="S191" s="929"/>
      <c r="T191" s="929"/>
      <c r="U191" s="402"/>
      <c r="V191" s="929"/>
      <c r="W191" s="929"/>
      <c r="X191" s="929"/>
      <c r="Y191" s="929"/>
      <c r="Z191" s="929"/>
      <c r="AA191" s="1402"/>
      <c r="AB191" s="424"/>
      <c r="AC191" s="424"/>
      <c r="AD191" s="424"/>
      <c r="AE191" s="424"/>
    </row>
    <row r="192" spans="1:31" s="1727" customFormat="1" ht="11.25" customHeight="1">
      <c r="A192" s="771"/>
      <c r="B192" s="1406"/>
      <c r="C192" s="1406"/>
      <c r="D192" s="232"/>
      <c r="K192" s="929"/>
      <c r="L192" s="1406"/>
      <c r="M192" s="1406"/>
      <c r="N192" s="929"/>
      <c r="O192" s="929"/>
      <c r="P192" s="929"/>
      <c r="Q192" s="929"/>
      <c r="R192" s="1406"/>
      <c r="S192" s="929"/>
      <c r="T192" s="929"/>
      <c r="U192" s="402"/>
      <c r="V192" s="929"/>
      <c r="W192" s="929"/>
      <c r="X192" s="929"/>
      <c r="Y192" s="929"/>
      <c r="Z192" s="929"/>
      <c r="AA192" s="1402"/>
      <c r="AB192" s="424"/>
      <c r="AC192" s="424"/>
      <c r="AD192" s="424"/>
      <c r="AE192" s="424"/>
    </row>
    <row r="193" spans="1:31" s="1727" customFormat="1" ht="11.25" customHeight="1">
      <c r="A193" s="771"/>
      <c r="B193" s="1406"/>
      <c r="C193" s="1406"/>
      <c r="D193" s="232"/>
      <c r="K193" s="929"/>
      <c r="L193" s="1406"/>
      <c r="M193" s="1406"/>
      <c r="N193" s="929"/>
      <c r="O193" s="929"/>
      <c r="P193" s="929"/>
      <c r="Q193" s="929"/>
      <c r="R193" s="1406"/>
      <c r="S193" s="929"/>
      <c r="T193" s="929"/>
      <c r="U193" s="402"/>
      <c r="V193" s="929"/>
      <c r="W193" s="929"/>
      <c r="X193" s="929"/>
      <c r="Y193" s="929"/>
      <c r="Z193" s="929"/>
      <c r="AA193" s="1402"/>
      <c r="AB193" s="424"/>
      <c r="AC193" s="424"/>
      <c r="AD193" s="424"/>
      <c r="AE193" s="424"/>
    </row>
    <row r="194" spans="1:31" s="1727" customFormat="1" ht="11.25" customHeight="1">
      <c r="A194" s="771"/>
      <c r="B194" s="1406"/>
      <c r="C194" s="1406"/>
      <c r="D194" s="232"/>
      <c r="K194" s="929"/>
      <c r="L194" s="1406"/>
      <c r="M194" s="1406"/>
      <c r="N194" s="929"/>
      <c r="O194" s="929"/>
      <c r="P194" s="929"/>
      <c r="Q194" s="929"/>
      <c r="R194" s="1406"/>
      <c r="S194" s="929"/>
      <c r="T194" s="929"/>
      <c r="U194" s="402"/>
      <c r="V194" s="929"/>
      <c r="W194" s="929"/>
      <c r="X194" s="929"/>
      <c r="Y194" s="929"/>
      <c r="Z194" s="929"/>
      <c r="AA194" s="1402"/>
      <c r="AB194" s="424"/>
      <c r="AC194" s="424"/>
      <c r="AD194" s="424"/>
      <c r="AE194" s="424"/>
    </row>
    <row r="195" spans="1:31" s="1727" customFormat="1" ht="11.25" customHeight="1">
      <c r="A195" s="771"/>
      <c r="B195" s="1406"/>
      <c r="C195" s="1406"/>
      <c r="D195" s="232"/>
      <c r="K195" s="929"/>
      <c r="L195" s="1406"/>
      <c r="M195" s="1406"/>
      <c r="N195" s="929"/>
      <c r="O195" s="929"/>
      <c r="P195" s="929"/>
      <c r="Q195" s="929"/>
      <c r="R195" s="1406"/>
      <c r="S195" s="929"/>
      <c r="T195" s="929"/>
      <c r="U195" s="402"/>
      <c r="V195" s="929"/>
      <c r="W195" s="929"/>
      <c r="X195" s="929"/>
      <c r="Y195" s="929"/>
      <c r="Z195" s="929"/>
      <c r="AA195" s="1402"/>
      <c r="AB195" s="424"/>
      <c r="AC195" s="424"/>
      <c r="AD195" s="424"/>
      <c r="AE195" s="424"/>
    </row>
    <row r="196" spans="1:31" s="1727" customFormat="1" ht="11.25" customHeight="1">
      <c r="A196" s="771"/>
      <c r="B196" s="1406"/>
      <c r="C196" s="1406"/>
      <c r="D196" s="232"/>
      <c r="K196" s="929"/>
      <c r="L196" s="1406"/>
      <c r="M196" s="1406"/>
      <c r="N196" s="929"/>
      <c r="O196" s="929"/>
      <c r="P196" s="929"/>
      <c r="Q196" s="929"/>
      <c r="R196" s="1406"/>
      <c r="S196" s="929"/>
      <c r="T196" s="929"/>
      <c r="U196" s="402"/>
      <c r="V196" s="929"/>
      <c r="W196" s="929"/>
      <c r="X196" s="929"/>
      <c r="Y196" s="929"/>
      <c r="Z196" s="929"/>
      <c r="AA196" s="1402"/>
      <c r="AB196" s="424"/>
      <c r="AC196" s="424"/>
      <c r="AD196" s="424"/>
      <c r="AE196" s="424"/>
    </row>
    <row r="197" spans="1:31" s="1727" customFormat="1" ht="11.25" customHeight="1">
      <c r="A197" s="771"/>
      <c r="B197" s="1406"/>
      <c r="C197" s="1406"/>
      <c r="D197" s="232"/>
      <c r="K197" s="929"/>
      <c r="L197" s="1406"/>
      <c r="M197" s="1406"/>
      <c r="N197" s="929"/>
      <c r="O197" s="929"/>
      <c r="P197" s="929"/>
      <c r="Q197" s="929"/>
      <c r="R197" s="1406"/>
      <c r="S197" s="929"/>
      <c r="T197" s="929"/>
      <c r="U197" s="402"/>
      <c r="V197" s="929"/>
      <c r="W197" s="929"/>
      <c r="X197" s="929"/>
      <c r="Y197" s="929"/>
      <c r="Z197" s="929"/>
      <c r="AA197" s="1402"/>
      <c r="AB197" s="424"/>
      <c r="AC197" s="424"/>
      <c r="AD197" s="424"/>
      <c r="AE197" s="424"/>
    </row>
    <row r="198" spans="1:31" s="1727" customFormat="1" ht="11.25" customHeight="1">
      <c r="A198" s="771"/>
      <c r="B198" s="1406"/>
      <c r="C198" s="1406"/>
      <c r="D198" s="232"/>
      <c r="K198" s="929"/>
      <c r="L198" s="1406"/>
      <c r="M198" s="1406"/>
      <c r="N198" s="929"/>
      <c r="O198" s="929"/>
      <c r="P198" s="929"/>
      <c r="Q198" s="929"/>
      <c r="R198" s="1406"/>
      <c r="S198" s="929"/>
      <c r="T198" s="929"/>
      <c r="U198" s="402"/>
      <c r="V198" s="929"/>
      <c r="W198" s="929"/>
      <c r="X198" s="929"/>
      <c r="Y198" s="929"/>
      <c r="Z198" s="929"/>
      <c r="AA198" s="1402"/>
      <c r="AB198" s="424"/>
      <c r="AC198" s="424"/>
      <c r="AD198" s="424"/>
      <c r="AE198" s="424"/>
    </row>
    <row r="199" spans="1:31" s="1727" customFormat="1" ht="11.25" customHeight="1">
      <c r="A199" s="771"/>
      <c r="B199" s="1406"/>
      <c r="C199" s="1406"/>
      <c r="D199" s="232"/>
      <c r="K199" s="929"/>
      <c r="L199" s="1406"/>
      <c r="M199" s="1406"/>
      <c r="N199" s="929"/>
      <c r="O199" s="929"/>
      <c r="P199" s="929"/>
      <c r="Q199" s="929"/>
      <c r="R199" s="1406"/>
      <c r="S199" s="929"/>
      <c r="T199" s="929"/>
      <c r="U199" s="402"/>
      <c r="V199" s="929"/>
      <c r="W199" s="929"/>
      <c r="X199" s="929"/>
      <c r="Y199" s="929"/>
      <c r="Z199" s="929"/>
      <c r="AA199" s="1402"/>
      <c r="AB199" s="424"/>
      <c r="AC199" s="424"/>
      <c r="AD199" s="424"/>
      <c r="AE199" s="424"/>
    </row>
    <row r="200" spans="1:31" s="1727" customFormat="1" ht="11.25" customHeight="1">
      <c r="A200" s="771"/>
      <c r="B200" s="1406"/>
      <c r="C200" s="1406"/>
      <c r="D200" s="232"/>
      <c r="K200" s="929"/>
      <c r="L200" s="1406"/>
      <c r="M200" s="1406"/>
      <c r="N200" s="929"/>
      <c r="O200" s="929"/>
      <c r="P200" s="929"/>
      <c r="Q200" s="929"/>
      <c r="R200" s="1406"/>
      <c r="S200" s="929"/>
      <c r="T200" s="929"/>
      <c r="U200" s="402"/>
      <c r="V200" s="929"/>
      <c r="W200" s="929"/>
      <c r="X200" s="929"/>
      <c r="Y200" s="929"/>
      <c r="Z200" s="929"/>
      <c r="AA200" s="1402"/>
      <c r="AB200" s="424"/>
      <c r="AC200" s="424"/>
      <c r="AD200" s="424"/>
      <c r="AE200" s="424"/>
    </row>
    <row r="201" spans="1:31" s="1727" customFormat="1" ht="11.25" customHeight="1">
      <c r="A201" s="771"/>
      <c r="B201" s="1406"/>
      <c r="C201" s="1406"/>
      <c r="D201" s="232"/>
      <c r="K201" s="929"/>
      <c r="L201" s="1406"/>
      <c r="M201" s="1406"/>
      <c r="N201" s="929"/>
      <c r="O201" s="929"/>
      <c r="P201" s="929"/>
      <c r="Q201" s="929"/>
      <c r="R201" s="1406"/>
      <c r="S201" s="929"/>
      <c r="T201" s="929"/>
      <c r="U201" s="402"/>
      <c r="V201" s="929"/>
      <c r="W201" s="929"/>
      <c r="X201" s="929"/>
      <c r="Y201" s="929"/>
      <c r="Z201" s="929"/>
      <c r="AA201" s="1402"/>
      <c r="AB201" s="424"/>
      <c r="AC201" s="424"/>
      <c r="AD201" s="424"/>
      <c r="AE201" s="424"/>
    </row>
    <row r="202" spans="1:31" s="1727" customFormat="1" ht="11.25" customHeight="1">
      <c r="A202" s="771"/>
      <c r="B202" s="1406"/>
      <c r="C202" s="1406"/>
      <c r="D202" s="232"/>
      <c r="K202" s="929"/>
      <c r="L202" s="1406"/>
      <c r="M202" s="1406"/>
      <c r="N202" s="929"/>
      <c r="O202" s="929"/>
      <c r="P202" s="929"/>
      <c r="Q202" s="929"/>
      <c r="R202" s="1406"/>
      <c r="S202" s="929"/>
      <c r="T202" s="929"/>
      <c r="U202" s="402"/>
      <c r="V202" s="929"/>
      <c r="W202" s="929"/>
      <c r="X202" s="929"/>
      <c r="Y202" s="929"/>
      <c r="Z202" s="929"/>
      <c r="AA202" s="1402"/>
      <c r="AB202" s="424"/>
      <c r="AC202" s="424"/>
      <c r="AD202" s="424"/>
      <c r="AE202" s="424"/>
    </row>
    <row r="203" spans="1:31" s="1727" customFormat="1" ht="11.25" customHeight="1">
      <c r="A203" s="771"/>
      <c r="B203" s="1406"/>
      <c r="C203" s="1406"/>
      <c r="D203" s="232"/>
      <c r="K203" s="929"/>
      <c r="L203" s="1406"/>
      <c r="M203" s="1406"/>
      <c r="N203" s="929"/>
      <c r="O203" s="929"/>
      <c r="P203" s="929"/>
      <c r="Q203" s="929"/>
      <c r="R203" s="1406"/>
      <c r="S203" s="929"/>
      <c r="T203" s="929"/>
      <c r="U203" s="402"/>
      <c r="V203" s="929"/>
      <c r="W203" s="929"/>
      <c r="X203" s="929"/>
      <c r="Y203" s="929"/>
      <c r="Z203" s="929"/>
      <c r="AA203" s="1402"/>
      <c r="AB203" s="424"/>
      <c r="AC203" s="424"/>
      <c r="AD203" s="424"/>
      <c r="AE203" s="424"/>
    </row>
    <row r="204" spans="1:31" s="1727" customFormat="1" ht="11.25" customHeight="1">
      <c r="A204" s="771"/>
      <c r="B204" s="1406"/>
      <c r="C204" s="1406"/>
      <c r="D204" s="232"/>
      <c r="K204" s="929"/>
      <c r="L204" s="1406"/>
      <c r="M204" s="1406"/>
      <c r="N204" s="929"/>
      <c r="O204" s="929"/>
      <c r="P204" s="929"/>
      <c r="Q204" s="929"/>
      <c r="R204" s="1406"/>
      <c r="S204" s="929"/>
      <c r="T204" s="929"/>
      <c r="U204" s="402"/>
      <c r="V204" s="929"/>
      <c r="W204" s="929"/>
      <c r="X204" s="929"/>
      <c r="Y204" s="929"/>
      <c r="Z204" s="929"/>
      <c r="AA204" s="1402"/>
      <c r="AB204" s="424"/>
      <c r="AC204" s="424"/>
      <c r="AD204" s="424"/>
      <c r="AE204" s="424"/>
    </row>
    <row r="208" spans="1:31" ht="11.25" customHeight="1">
      <c r="A208" s="774"/>
      <c r="B208" s="1401"/>
      <c r="D208" s="1401"/>
      <c r="K208" s="1401"/>
      <c r="N208" s="1401"/>
      <c r="O208" s="1401"/>
      <c r="P208" s="1401"/>
      <c r="Q208" s="1401"/>
      <c r="S208" s="1401"/>
      <c r="T208" s="1401"/>
      <c r="U208" s="1401"/>
      <c r="V208" s="1401"/>
      <c r="W208" s="1401"/>
      <c r="X208" s="1401"/>
      <c r="Y208" s="1401"/>
      <c r="Z208" s="1401"/>
      <c r="AA208" s="1401"/>
      <c r="AB208" s="1401"/>
      <c r="AC208" s="1401"/>
      <c r="AD208" s="1401"/>
      <c r="AE208" s="1401"/>
    </row>
    <row r="209" spans="1:31" ht="11.25" customHeight="1">
      <c r="A209" s="774"/>
      <c r="B209" s="1401"/>
      <c r="D209" s="1401"/>
      <c r="K209" s="1401"/>
      <c r="N209" s="1401"/>
      <c r="O209" s="1401"/>
      <c r="P209" s="1401"/>
      <c r="Q209" s="1401"/>
      <c r="S209" s="1401"/>
      <c r="T209" s="1401"/>
      <c r="U209" s="1401"/>
      <c r="V209" s="1401"/>
      <c r="W209" s="1401"/>
      <c r="X209" s="1401"/>
      <c r="Y209" s="1401"/>
      <c r="Z209" s="1401"/>
      <c r="AA209" s="1401"/>
      <c r="AB209" s="1401"/>
      <c r="AC209" s="1401"/>
      <c r="AD209" s="1401"/>
      <c r="AE209" s="1401"/>
    </row>
    <row r="210" spans="1:31" ht="11.25" customHeight="1">
      <c r="A210" s="774"/>
      <c r="B210" s="1401"/>
      <c r="D210" s="1401"/>
      <c r="K210" s="1401"/>
      <c r="N210" s="1401"/>
      <c r="O210" s="1401"/>
      <c r="P210" s="1401"/>
      <c r="Q210" s="1401"/>
      <c r="S210" s="1401"/>
      <c r="T210" s="1401"/>
      <c r="U210" s="1401"/>
      <c r="V210" s="1401"/>
      <c r="W210" s="1401"/>
      <c r="X210" s="1401"/>
      <c r="Y210" s="1401"/>
      <c r="Z210" s="1401"/>
      <c r="AA210" s="1401"/>
      <c r="AB210" s="1401"/>
      <c r="AC210" s="1401"/>
      <c r="AD210" s="1401"/>
      <c r="AE210" s="1401"/>
    </row>
    <row r="211" spans="1:31" ht="11.25" customHeight="1">
      <c r="A211" s="774"/>
      <c r="B211" s="1401"/>
      <c r="D211" s="1401"/>
      <c r="K211" s="1401"/>
      <c r="N211" s="1401"/>
      <c r="O211" s="1401"/>
      <c r="P211" s="1401"/>
      <c r="Q211" s="1401"/>
      <c r="S211" s="1401"/>
      <c r="T211" s="1401"/>
      <c r="U211" s="1401"/>
      <c r="V211" s="1401"/>
      <c r="W211" s="1401"/>
      <c r="X211" s="1401"/>
      <c r="Y211" s="1401"/>
      <c r="Z211" s="1401"/>
      <c r="AA211" s="1401"/>
      <c r="AB211" s="1401"/>
      <c r="AC211" s="1401"/>
      <c r="AD211" s="1401"/>
      <c r="AE211" s="1401"/>
    </row>
    <row r="212" spans="1:31" ht="11.25" customHeight="1">
      <c r="A212" s="774"/>
      <c r="B212" s="1401"/>
      <c r="D212" s="1401"/>
      <c r="K212" s="1401"/>
      <c r="N212" s="1401"/>
      <c r="O212" s="1401"/>
      <c r="P212" s="1401"/>
      <c r="Q212" s="1401"/>
      <c r="S212" s="1401"/>
      <c r="T212" s="1401"/>
      <c r="U212" s="1401"/>
      <c r="V212" s="1401"/>
      <c r="W212" s="1401"/>
      <c r="X212" s="1401"/>
      <c r="Y212" s="1401"/>
      <c r="Z212" s="1401"/>
      <c r="AA212" s="1401"/>
      <c r="AB212" s="1401"/>
      <c r="AC212" s="1401"/>
      <c r="AD212" s="1401"/>
      <c r="AE212" s="1401"/>
    </row>
    <row r="213" spans="1:31" ht="11.25" customHeight="1">
      <c r="A213" s="774"/>
      <c r="B213" s="1401"/>
      <c r="D213" s="1401"/>
      <c r="K213" s="1401"/>
      <c r="N213" s="1401"/>
      <c r="O213" s="1401"/>
      <c r="P213" s="1401"/>
      <c r="Q213" s="1401"/>
      <c r="S213" s="1401"/>
      <c r="T213" s="1401"/>
      <c r="U213" s="1401"/>
      <c r="V213" s="1401"/>
      <c r="W213" s="1401"/>
      <c r="X213" s="1401"/>
      <c r="Y213" s="1401"/>
      <c r="Z213" s="1401"/>
      <c r="AA213" s="1401"/>
      <c r="AB213" s="1401"/>
      <c r="AC213" s="1401"/>
      <c r="AD213" s="1401"/>
      <c r="AE213" s="1401"/>
    </row>
    <row r="214" spans="1:31" ht="11.25" customHeight="1">
      <c r="A214" s="774"/>
      <c r="B214" s="1401"/>
      <c r="D214" s="1401"/>
      <c r="K214" s="1401"/>
      <c r="N214" s="1401"/>
      <c r="O214" s="1401"/>
      <c r="P214" s="1401"/>
      <c r="Q214" s="1401"/>
      <c r="S214" s="1401"/>
      <c r="T214" s="1401"/>
      <c r="U214" s="1401"/>
      <c r="V214" s="1401"/>
      <c r="W214" s="1401"/>
      <c r="X214" s="1401"/>
      <c r="Y214" s="1401"/>
      <c r="Z214" s="1401"/>
      <c r="AA214" s="1401"/>
      <c r="AB214" s="1401"/>
      <c r="AC214" s="1401"/>
      <c r="AD214" s="1401"/>
      <c r="AE214" s="1401"/>
    </row>
    <row r="215" spans="1:31" ht="11.25" customHeight="1">
      <c r="A215" s="774"/>
      <c r="B215" s="1401"/>
      <c r="D215" s="1401"/>
      <c r="K215" s="1401"/>
      <c r="N215" s="1401"/>
      <c r="O215" s="1401"/>
      <c r="P215" s="1401"/>
      <c r="Q215" s="1401"/>
      <c r="S215" s="1401"/>
      <c r="T215" s="1401"/>
      <c r="U215" s="1401"/>
      <c r="V215" s="1401"/>
      <c r="W215" s="1401"/>
      <c r="X215" s="1401"/>
      <c r="Y215" s="1401"/>
      <c r="Z215" s="1401"/>
      <c r="AA215" s="1401"/>
      <c r="AB215" s="1401"/>
      <c r="AC215" s="1401"/>
      <c r="AD215" s="1401"/>
      <c r="AE215" s="1401"/>
    </row>
    <row r="216" spans="1:31" ht="11.25" customHeight="1">
      <c r="A216" s="774"/>
      <c r="B216" s="1401"/>
      <c r="D216" s="1401"/>
      <c r="K216" s="1401"/>
      <c r="N216" s="1401"/>
      <c r="O216" s="1401"/>
      <c r="P216" s="1401"/>
      <c r="Q216" s="1401"/>
      <c r="S216" s="1401"/>
      <c r="T216" s="1401"/>
      <c r="U216" s="1401"/>
      <c r="V216" s="1401"/>
      <c r="W216" s="1401"/>
      <c r="X216" s="1401"/>
      <c r="Y216" s="1401"/>
      <c r="Z216" s="1401"/>
      <c r="AA216" s="1401"/>
      <c r="AB216" s="1401"/>
      <c r="AC216" s="1401"/>
      <c r="AD216" s="1401"/>
      <c r="AE216" s="1401"/>
    </row>
    <row r="217" spans="1:31" ht="11.25" customHeight="1">
      <c r="A217" s="774"/>
      <c r="B217" s="1401"/>
      <c r="D217" s="1401"/>
      <c r="K217" s="1401"/>
      <c r="N217" s="1401"/>
      <c r="O217" s="1401"/>
      <c r="P217" s="1401"/>
      <c r="Q217" s="1401"/>
      <c r="S217" s="1401"/>
      <c r="T217" s="1401"/>
      <c r="U217" s="1401"/>
      <c r="V217" s="1401"/>
      <c r="W217" s="1401"/>
      <c r="X217" s="1401"/>
      <c r="Y217" s="1401"/>
      <c r="Z217" s="1401"/>
      <c r="AA217" s="1401"/>
      <c r="AB217" s="1401"/>
      <c r="AC217" s="1401"/>
      <c r="AD217" s="1401"/>
      <c r="AE217" s="1401"/>
    </row>
    <row r="218" spans="1:31" ht="11.25" customHeight="1">
      <c r="A218" s="774"/>
      <c r="B218" s="1401"/>
      <c r="D218" s="1401"/>
      <c r="K218" s="1401"/>
      <c r="N218" s="1401"/>
      <c r="O218" s="1401"/>
      <c r="P218" s="1401"/>
      <c r="Q218" s="1401"/>
      <c r="S218" s="1401"/>
      <c r="T218" s="1401"/>
      <c r="U218" s="1401"/>
      <c r="V218" s="1401"/>
      <c r="W218" s="1401"/>
      <c r="X218" s="1401"/>
      <c r="Y218" s="1401"/>
      <c r="Z218" s="1401"/>
      <c r="AA218" s="1401"/>
      <c r="AB218" s="1401"/>
      <c r="AC218" s="1401"/>
      <c r="AD218" s="1401"/>
      <c r="AE218" s="140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9" tint="-0.249977111117893"/>
  </sheetPr>
  <dimension ref="A1:AE209"/>
  <sheetViews>
    <sheetView showGridLines="0" topLeftCell="D5" zoomScale="90" workbookViewId="0"/>
  </sheetViews>
  <sheetFormatPr defaultColWidth="9.140625" defaultRowHeight="11.25" customHeight="1"/>
  <cols>
    <col min="1" max="1" width="10.7109375" style="1714" hidden="1" customWidth="1"/>
    <col min="2" max="2" width="16.85546875" style="1687" hidden="1" customWidth="1"/>
    <col min="3" max="3" width="5.5703125" style="1710" hidden="1" customWidth="1"/>
    <col min="4" max="4" width="3.7109375" style="1753" customWidth="1"/>
    <col min="5" max="5" width="7.7109375" style="1664" customWidth="1"/>
    <col min="6" max="6" width="54.5703125" style="1664" customWidth="1"/>
    <col min="7" max="7" width="10.42578125" style="1664" customWidth="1"/>
    <col min="8" max="8" width="40.7109375" style="1664" hidden="1" customWidth="1"/>
    <col min="9" max="9" width="40.7109375" style="1664" customWidth="1"/>
    <col min="10" max="10" width="102.85546875" style="1664" customWidth="1"/>
    <col min="11" max="11" width="9.7109375" style="1687" customWidth="1"/>
    <col min="12" max="12" width="5.28515625" style="1710" customWidth="1"/>
    <col min="13" max="13" width="3.7109375" style="1710" customWidth="1"/>
    <col min="14" max="17" width="3.7109375" style="1687" customWidth="1"/>
    <col min="18" max="18" width="10.5703125" style="1710" customWidth="1"/>
    <col min="19" max="19" width="34.7109375" style="1687" customWidth="1"/>
    <col min="20" max="20" width="9.42578125" style="1687" customWidth="1"/>
    <col min="21" max="21" width="9.140625" style="1716"/>
    <col min="22" max="26" width="9.140625" style="1687"/>
    <col min="27" max="31" width="9.140625" style="1663"/>
  </cols>
  <sheetData>
    <row r="1" spans="1:31" s="1687" customFormat="1" ht="11.25" hidden="1" customHeight="1">
      <c r="A1" s="771"/>
      <c r="C1" s="1406"/>
      <c r="D1" s="395"/>
      <c r="H1" s="929">
        <v>4</v>
      </c>
      <c r="I1" s="929">
        <v>4</v>
      </c>
      <c r="L1" s="1406"/>
      <c r="M1" s="1406"/>
      <c r="R1" s="1406"/>
    </row>
    <row r="2" spans="1:31" s="1687" customFormat="1" ht="22.5" hidden="1" customHeight="1">
      <c r="A2" s="771"/>
      <c r="C2" s="1406"/>
      <c r="D2" s="396"/>
      <c r="E2" s="1427"/>
      <c r="F2" s="398"/>
      <c r="G2" s="1426" t="s">
        <v>470</v>
      </c>
      <c r="H2" s="399"/>
      <c r="I2" s="399"/>
      <c r="J2" s="400" t="s">
        <v>473</v>
      </c>
      <c r="K2" s="401"/>
      <c r="L2" s="1406"/>
      <c r="M2" s="1406"/>
      <c r="R2" s="1406"/>
      <c r="U2" s="402"/>
      <c r="AA2" s="1402"/>
      <c r="AB2" s="1402"/>
      <c r="AC2" s="1402"/>
      <c r="AD2" s="1402"/>
      <c r="AE2" s="1402"/>
    </row>
    <row r="3" spans="1:31" ht="11.25" hidden="1" customHeight="1"/>
    <row r="4" spans="1:31" s="1663" customFormat="1" ht="11.25" hidden="1" customHeight="1">
      <c r="A4" s="771"/>
      <c r="B4" s="929"/>
      <c r="C4" s="1406"/>
      <c r="D4" s="245"/>
      <c r="J4" s="1402">
        <v>4</v>
      </c>
      <c r="K4" s="929"/>
      <c r="L4" s="1406"/>
      <c r="M4" s="1406"/>
      <c r="N4" s="929"/>
      <c r="O4" s="929"/>
      <c r="P4" s="929"/>
      <c r="Q4" s="929"/>
      <c r="R4" s="1406"/>
      <c r="S4" s="929"/>
      <c r="T4" s="929"/>
      <c r="U4" s="402"/>
      <c r="V4" s="929"/>
      <c r="W4" s="929"/>
      <c r="X4" s="929"/>
      <c r="Y4" s="929"/>
      <c r="Z4" s="929"/>
    </row>
    <row r="6" spans="1:31" ht="32.25" customHeight="1">
      <c r="E6" s="2088" t="s">
        <v>608</v>
      </c>
      <c r="F6" s="2088"/>
      <c r="G6" s="2088"/>
      <c r="H6" s="2088"/>
      <c r="I6" s="2088"/>
      <c r="J6" s="414"/>
    </row>
    <row r="7" spans="1:31" ht="24" customHeight="1">
      <c r="E7" s="2059" t="e">
        <f>IF(org=0,"Не определено",org)</f>
        <v>#REF!</v>
      </c>
      <c r="F7" s="2059"/>
      <c r="G7" s="2059"/>
      <c r="H7" s="2059"/>
      <c r="I7" s="2059"/>
    </row>
    <row r="8" spans="1:31" ht="11.25" customHeight="1">
      <c r="E8" s="907"/>
      <c r="F8" s="907"/>
      <c r="G8" s="907"/>
      <c r="H8" s="907"/>
      <c r="I8" s="907"/>
    </row>
    <row r="9" spans="1:31" s="1710" customFormat="1" ht="0.75" customHeight="1">
      <c r="A9" s="935"/>
      <c r="D9" s="1411"/>
      <c r="H9" s="678"/>
      <c r="I9" s="678" t="s">
        <v>51</v>
      </c>
    </row>
    <row r="10" spans="1:31" ht="11.25" customHeight="1">
      <c r="E10" s="538"/>
      <c r="F10" s="2189" t="s">
        <v>39</v>
      </c>
      <c r="G10" s="2190"/>
      <c r="H10" s="1428" t="str">
        <f>IF(H9="","",INDEX(DIFFERENTIATION_UNMERGE_VD,MATCH(H9,DIFFERENTIATION_ID_DIFF,0)))</f>
        <v/>
      </c>
      <c r="I10" s="1428" t="e">
        <f>IF(I9="","",INDEX(DIFFERENTIATION_UNMERGE_VD,MATCH(I9,DIFFERENTIATION_ID_DIFF,0)))</f>
        <v>#REF!</v>
      </c>
      <c r="J10" s="2025"/>
    </row>
    <row r="11" spans="1:31" ht="11.25" customHeight="1">
      <c r="E11" s="538"/>
      <c r="F11" s="2189" t="s">
        <v>482</v>
      </c>
      <c r="G11" s="2190"/>
      <c r="H11" s="1428" t="str">
        <f>IF(H9="","",INDEX(DIFFERENTIATION_UNMERGE_AREA,MATCH(H9,DIFFERENTIATION_ID_DIFF,0)))</f>
        <v/>
      </c>
      <c r="I11" s="1428" t="e">
        <f>IF(I9="","",INDEX(DIFFERENTIATION_UNMERGE_AREA,MATCH(I9,DIFFERENTIATION_ID_DIFF,0)))</f>
        <v>#REF!</v>
      </c>
      <c r="J11" s="2025"/>
    </row>
    <row r="12" spans="1:31" ht="11.25" hidden="1" customHeight="1">
      <c r="E12" s="1431"/>
      <c r="F12" s="2206" t="s">
        <v>483</v>
      </c>
      <c r="G12" s="2207"/>
      <c r="H12" s="1432" t="str">
        <f>IF(H9="","",INDEX(DIFFERENTIATION_UNMERGE_SYSTEM,MATCH(H9,DIFFERENTIATION_ID_DIFF,0)))</f>
        <v/>
      </c>
      <c r="I12" s="1432" t="e">
        <f>IF(I9="","",INDEX(DIFFERENTIATION_UNMERGE_SYSTEM,MATCH(I9,DIFFERENTIATION_ID_DIFF,0)))</f>
        <v>#REF!</v>
      </c>
      <c r="J12" s="2025"/>
    </row>
    <row r="13" spans="1:31" ht="11.25" customHeight="1">
      <c r="E13" s="2191" t="s">
        <v>224</v>
      </c>
      <c r="F13" s="2192"/>
      <c r="G13" s="2192"/>
      <c r="H13" s="1425"/>
      <c r="I13" s="1425"/>
      <c r="J13" s="2025"/>
    </row>
    <row r="14" spans="1:31" ht="22.5" customHeight="1">
      <c r="E14" s="1426" t="s">
        <v>22</v>
      </c>
      <c r="F14" s="1429" t="s">
        <v>226</v>
      </c>
      <c r="G14" s="1429" t="s">
        <v>484</v>
      </c>
      <c r="H14" s="1429" t="s">
        <v>227</v>
      </c>
      <c r="I14" s="1429" t="s">
        <v>227</v>
      </c>
      <c r="J14" s="2025"/>
    </row>
    <row r="15" spans="1:31" ht="18.75" customHeight="1">
      <c r="D15" s="1408"/>
      <c r="E15" s="1400" t="s">
        <v>43</v>
      </c>
      <c r="F15" s="535" t="s">
        <v>609</v>
      </c>
      <c r="G15" s="1426" t="s">
        <v>470</v>
      </c>
      <c r="H15" s="415"/>
      <c r="I15" s="415"/>
      <c r="J15" s="165" t="s">
        <v>610</v>
      </c>
      <c r="K15" s="401" t="s">
        <v>538</v>
      </c>
    </row>
    <row r="16" spans="1:31" ht="22.5" customHeight="1">
      <c r="D16" s="1408"/>
      <c r="E16" s="1400" t="s">
        <v>44</v>
      </c>
      <c r="F16" s="1434" t="s">
        <v>611</v>
      </c>
      <c r="G16" s="1426" t="s">
        <v>470</v>
      </c>
      <c r="H16" s="416">
        <f>SUM(H17,H20:H27)</f>
        <v>0</v>
      </c>
      <c r="I16" s="416">
        <f>SUM(I17,I20:I27)</f>
        <v>0</v>
      </c>
      <c r="J16" s="165" t="s">
        <v>612</v>
      </c>
      <c r="K16" s="401" t="s">
        <v>538</v>
      </c>
    </row>
    <row r="17" spans="1:31" ht="33.75" customHeight="1">
      <c r="D17" s="1408"/>
      <c r="E17" s="1433" t="s">
        <v>541</v>
      </c>
      <c r="F17" s="1436" t="s">
        <v>613</v>
      </c>
      <c r="G17" s="1423" t="s">
        <v>470</v>
      </c>
      <c r="H17" s="415"/>
      <c r="I17" s="415"/>
      <c r="J17" s="165" t="s">
        <v>614</v>
      </c>
      <c r="K17" s="401"/>
    </row>
    <row r="18" spans="1:31" ht="18.75" customHeight="1">
      <c r="D18" s="1408"/>
      <c r="E18" s="1433" t="s">
        <v>544</v>
      </c>
      <c r="F18" s="1437" t="s">
        <v>615</v>
      </c>
      <c r="G18" s="1423" t="s">
        <v>470</v>
      </c>
      <c r="H18" s="415"/>
      <c r="I18" s="415"/>
      <c r="J18" s="165"/>
      <c r="K18" s="401"/>
    </row>
    <row r="19" spans="1:31" ht="22.5" customHeight="1">
      <c r="D19" s="1408"/>
      <c r="E19" s="1433" t="s">
        <v>547</v>
      </c>
      <c r="F19" s="1437" t="s">
        <v>616</v>
      </c>
      <c r="G19" s="1423" t="s">
        <v>470</v>
      </c>
      <c r="H19" s="415"/>
      <c r="I19" s="415"/>
      <c r="J19" s="165"/>
      <c r="K19" s="401"/>
    </row>
    <row r="20" spans="1:31" ht="33.75" customHeight="1">
      <c r="D20" s="1408"/>
      <c r="E20" s="1433" t="s">
        <v>231</v>
      </c>
      <c r="F20" s="1436" t="s">
        <v>617</v>
      </c>
      <c r="G20" s="1423" t="s">
        <v>470</v>
      </c>
      <c r="H20" s="415"/>
      <c r="I20" s="415"/>
      <c r="J20" s="165"/>
      <c r="K20" s="401"/>
    </row>
    <row r="21" spans="1:31" ht="33.75" customHeight="1">
      <c r="D21" s="1408"/>
      <c r="E21" s="1433" t="s">
        <v>234</v>
      </c>
      <c r="F21" s="1436" t="s">
        <v>618</v>
      </c>
      <c r="G21" s="1423" t="s">
        <v>470</v>
      </c>
      <c r="H21" s="415"/>
      <c r="I21" s="415"/>
      <c r="J21" s="165"/>
      <c r="K21" s="401"/>
    </row>
    <row r="22" spans="1:31" ht="56.25" customHeight="1">
      <c r="D22" s="1408"/>
      <c r="E22" s="1433" t="s">
        <v>561</v>
      </c>
      <c r="F22" s="1436" t="s">
        <v>619</v>
      </c>
      <c r="G22" s="1423" t="s">
        <v>470</v>
      </c>
      <c r="H22" s="415"/>
      <c r="I22" s="415"/>
      <c r="J22" s="165"/>
      <c r="K22" s="401"/>
    </row>
    <row r="23" spans="1:31" ht="33.75" customHeight="1">
      <c r="D23" s="1408"/>
      <c r="E23" s="1433" t="s">
        <v>568</v>
      </c>
      <c r="F23" s="1436" t="s">
        <v>620</v>
      </c>
      <c r="G23" s="1423" t="s">
        <v>470</v>
      </c>
      <c r="H23" s="415"/>
      <c r="I23" s="415"/>
      <c r="J23" s="165"/>
      <c r="K23" s="401"/>
    </row>
    <row r="24" spans="1:31" ht="33.75" customHeight="1">
      <c r="D24" s="1408"/>
      <c r="E24" s="1433" t="s">
        <v>570</v>
      </c>
      <c r="F24" s="1436" t="s">
        <v>621</v>
      </c>
      <c r="G24" s="1423" t="s">
        <v>470</v>
      </c>
      <c r="H24" s="415"/>
      <c r="I24" s="415"/>
      <c r="J24" s="165"/>
      <c r="K24" s="401"/>
    </row>
    <row r="25" spans="1:31" ht="22.5" customHeight="1">
      <c r="D25" s="1408"/>
      <c r="E25" s="1433" t="s">
        <v>572</v>
      </c>
      <c r="F25" s="1436" t="s">
        <v>622</v>
      </c>
      <c r="G25" s="1423" t="s">
        <v>470</v>
      </c>
      <c r="H25" s="415"/>
      <c r="I25" s="415"/>
      <c r="J25" s="165"/>
      <c r="K25" s="401"/>
    </row>
    <row r="26" spans="1:31" ht="67.5" customHeight="1">
      <c r="D26" s="1408"/>
      <c r="E26" s="1433" t="s">
        <v>574</v>
      </c>
      <c r="F26" s="1436" t="s">
        <v>623</v>
      </c>
      <c r="G26" s="1423" t="s">
        <v>470</v>
      </c>
      <c r="H26" s="415"/>
      <c r="I26" s="415"/>
      <c r="J26" s="165"/>
      <c r="K26" s="401"/>
    </row>
    <row r="27" spans="1:31" s="1687" customFormat="1" ht="22.5" customHeight="1">
      <c r="A27" s="771"/>
      <c r="C27" s="1406"/>
      <c r="D27" s="1408"/>
      <c r="E27" s="1399" t="s">
        <v>578</v>
      </c>
      <c r="F27" s="1398" t="s">
        <v>624</v>
      </c>
      <c r="G27" s="1424" t="s">
        <v>470</v>
      </c>
      <c r="H27" s="437">
        <f>SUM(H28:H29)</f>
        <v>0</v>
      </c>
      <c r="I27" s="437">
        <f>SUM(I28:I29)</f>
        <v>0</v>
      </c>
      <c r="J27" s="165" t="s">
        <v>576</v>
      </c>
      <c r="K27" s="401"/>
      <c r="L27" s="1406"/>
      <c r="M27" s="1406"/>
      <c r="R27" s="1406"/>
      <c r="U27" s="402"/>
      <c r="AA27" s="1402"/>
      <c r="AB27" s="1402"/>
      <c r="AC27" s="1402"/>
      <c r="AD27" s="1402"/>
      <c r="AE27" s="1402"/>
    </row>
    <row r="28" spans="1:31" s="1710" customFormat="1" ht="0.75" customHeight="1">
      <c r="A28" s="935"/>
      <c r="D28" s="406"/>
      <c r="E28" s="611" t="str">
        <f>E27&amp;".0"</f>
        <v>2.9.0</v>
      </c>
      <c r="F28" s="775"/>
      <c r="G28" s="409"/>
      <c r="H28" s="776"/>
      <c r="I28" s="776"/>
      <c r="J28" s="777"/>
    </row>
    <row r="29" spans="1:31" s="1687" customFormat="1" ht="18.75" customHeight="1">
      <c r="A29" s="771"/>
      <c r="C29" s="1406"/>
      <c r="D29" s="1403"/>
      <c r="E29" s="428"/>
      <c r="F29" s="1435" t="s">
        <v>495</v>
      </c>
      <c r="G29" s="430"/>
      <c r="H29" s="431"/>
      <c r="I29" s="431"/>
      <c r="J29" s="176" t="s">
        <v>577</v>
      </c>
      <c r="K29" s="401"/>
      <c r="L29" s="1406"/>
      <c r="M29" s="1406"/>
      <c r="R29" s="1406"/>
      <c r="U29" s="402"/>
      <c r="AA29" s="1402"/>
      <c r="AB29" s="1402"/>
      <c r="AC29" s="1402"/>
      <c r="AD29" s="1402"/>
      <c r="AE29" s="1402"/>
    </row>
    <row r="30" spans="1:31" s="1687" customFormat="1" ht="22.5" customHeight="1">
      <c r="A30" s="771"/>
      <c r="C30" s="1406"/>
      <c r="D30" s="1408"/>
      <c r="E30" s="1433" t="s">
        <v>24</v>
      </c>
      <c r="F30" s="1430" t="s">
        <v>625</v>
      </c>
      <c r="G30" s="1423" t="s">
        <v>470</v>
      </c>
      <c r="H30" s="415"/>
      <c r="I30" s="415"/>
      <c r="J30" s="165"/>
      <c r="K30" s="401"/>
      <c r="L30" s="1406"/>
      <c r="M30" s="1406"/>
      <c r="R30" s="1406"/>
      <c r="U30" s="402"/>
      <c r="AA30" s="1402"/>
      <c r="AB30" s="1402"/>
      <c r="AC30" s="1402"/>
      <c r="AD30" s="1402"/>
      <c r="AE30" s="1402"/>
    </row>
    <row r="31" spans="1:31" s="1687" customFormat="1" ht="33.75" customHeight="1">
      <c r="A31" s="771"/>
      <c r="C31" s="1406"/>
      <c r="D31" s="433"/>
      <c r="E31" s="1433" t="s">
        <v>25</v>
      </c>
      <c r="F31" s="1430" t="s">
        <v>626</v>
      </c>
      <c r="G31" s="1423" t="s">
        <v>470</v>
      </c>
      <c r="H31" s="415"/>
      <c r="I31" s="415"/>
      <c r="J31" s="165" t="s">
        <v>627</v>
      </c>
      <c r="K31" s="401"/>
      <c r="L31" s="1406"/>
      <c r="M31" s="1406"/>
      <c r="R31" s="1406"/>
      <c r="U31" s="402"/>
      <c r="AA31" s="1402"/>
      <c r="AB31" s="1402"/>
      <c r="AC31" s="1402"/>
      <c r="AD31" s="1402"/>
      <c r="AE31" s="1402"/>
    </row>
    <row r="32" spans="1:31" s="1687" customFormat="1" ht="22.5" customHeight="1">
      <c r="A32" s="771"/>
      <c r="C32" s="1406"/>
      <c r="D32" s="1408"/>
      <c r="E32" s="1433" t="s">
        <v>586</v>
      </c>
      <c r="F32" s="524" t="s">
        <v>590</v>
      </c>
      <c r="G32" s="1423" t="s">
        <v>470</v>
      </c>
      <c r="H32" s="415"/>
      <c r="I32" s="415"/>
      <c r="J32" s="165" t="s">
        <v>628</v>
      </c>
      <c r="K32" s="401"/>
      <c r="L32" s="1406"/>
      <c r="M32" s="1406"/>
      <c r="R32" s="1406"/>
      <c r="U32" s="402"/>
      <c r="AA32" s="1402"/>
      <c r="AB32" s="1402"/>
      <c r="AC32" s="1402"/>
      <c r="AD32" s="1402"/>
      <c r="AE32" s="1402"/>
    </row>
    <row r="33" spans="1:31" s="1687" customFormat="1" ht="22.5" customHeight="1">
      <c r="A33" s="771"/>
      <c r="C33" s="1406"/>
      <c r="D33" s="1408"/>
      <c r="E33" s="1433" t="s">
        <v>629</v>
      </c>
      <c r="F33" s="524" t="s">
        <v>630</v>
      </c>
      <c r="G33" s="1423" t="s">
        <v>470</v>
      </c>
      <c r="H33" s="415"/>
      <c r="I33" s="415"/>
      <c r="J33" s="165" t="s">
        <v>631</v>
      </c>
      <c r="K33" s="401"/>
      <c r="L33" s="1406"/>
      <c r="M33" s="1406"/>
      <c r="R33" s="1406"/>
      <c r="U33" s="402"/>
      <c r="AA33" s="1402"/>
      <c r="AB33" s="1402"/>
      <c r="AC33" s="1402"/>
      <c r="AD33" s="1402"/>
      <c r="AE33" s="1402"/>
    </row>
    <row r="34" spans="1:31" s="1687" customFormat="1" ht="22.5" customHeight="1">
      <c r="A34" s="771"/>
      <c r="C34" s="1406"/>
      <c r="D34" s="1408"/>
      <c r="E34" s="1433" t="s">
        <v>632</v>
      </c>
      <c r="F34" s="524" t="s">
        <v>596</v>
      </c>
      <c r="G34" s="1423" t="s">
        <v>470</v>
      </c>
      <c r="H34" s="415"/>
      <c r="I34" s="415"/>
      <c r="J34" s="165" t="s">
        <v>633</v>
      </c>
      <c r="K34" s="401"/>
      <c r="L34" s="1406"/>
      <c r="M34" s="1406"/>
      <c r="R34" s="1406"/>
      <c r="U34" s="402"/>
      <c r="AA34" s="1402"/>
      <c r="AB34" s="1402"/>
      <c r="AC34" s="1402"/>
      <c r="AD34" s="1402"/>
      <c r="AE34" s="1402"/>
    </row>
    <row r="35" spans="1:31" s="1687" customFormat="1" ht="33.75" customHeight="1">
      <c r="A35" s="771"/>
      <c r="C35" s="1406" t="s">
        <v>506</v>
      </c>
      <c r="D35" s="1408"/>
      <c r="E35" s="1433" t="s">
        <v>45</v>
      </c>
      <c r="F35" s="1430" t="s">
        <v>598</v>
      </c>
      <c r="G35" s="1426" t="s">
        <v>230</v>
      </c>
      <c r="H35" s="286"/>
      <c r="I35" s="286"/>
      <c r="J35" s="165" t="s">
        <v>634</v>
      </c>
      <c r="K35" s="401"/>
      <c r="L35" s="1406"/>
      <c r="M35" s="1406"/>
      <c r="R35" s="1406"/>
      <c r="U35" s="402"/>
      <c r="AA35" s="1402"/>
      <c r="AB35" s="1402"/>
      <c r="AC35" s="1402"/>
      <c r="AD35" s="1402"/>
      <c r="AE35" s="1402"/>
    </row>
    <row r="36" spans="1:31" s="1687" customFormat="1" ht="22.5" customHeight="1">
      <c r="A36" s="771"/>
      <c r="C36" s="1406"/>
      <c r="D36" s="1408"/>
      <c r="E36" s="1433" t="s">
        <v>26</v>
      </c>
      <c r="F36" s="1430" t="s">
        <v>635</v>
      </c>
      <c r="G36" s="1423" t="s">
        <v>602</v>
      </c>
      <c r="H36" s="403"/>
      <c r="I36" s="403"/>
      <c r="J36" s="165" t="s">
        <v>603</v>
      </c>
      <c r="K36" s="401"/>
      <c r="L36" s="1406"/>
      <c r="M36" s="1406"/>
      <c r="R36" s="1406"/>
      <c r="U36" s="402"/>
      <c r="AA36" s="1402"/>
      <c r="AB36" s="1402"/>
      <c r="AC36" s="1402"/>
      <c r="AD36" s="1402"/>
      <c r="AE36" s="1402"/>
    </row>
    <row r="37" spans="1:31" s="1687" customFormat="1" ht="22.5" customHeight="1">
      <c r="A37" s="771"/>
      <c r="C37" s="1406"/>
      <c r="D37" s="1408"/>
      <c r="E37" s="1433" t="s">
        <v>27</v>
      </c>
      <c r="F37" s="1430" t="s">
        <v>636</v>
      </c>
      <c r="G37" s="1423" t="s">
        <v>605</v>
      </c>
      <c r="H37" s="403"/>
      <c r="I37" s="403"/>
      <c r="J37" s="165" t="s">
        <v>606</v>
      </c>
      <c r="K37" s="401"/>
      <c r="L37" s="1406"/>
      <c r="M37" s="1406"/>
      <c r="R37" s="1406"/>
      <c r="U37" s="402"/>
      <c r="AA37" s="1402"/>
      <c r="AB37" s="1402"/>
      <c r="AC37" s="1402"/>
      <c r="AD37" s="1402"/>
      <c r="AE37" s="1402"/>
    </row>
    <row r="38" spans="1:31" ht="11.25" customHeight="1">
      <c r="D38" s="1408"/>
    </row>
    <row r="39" spans="1:31" ht="26.25" customHeight="1">
      <c r="D39" s="1408"/>
      <c r="E39" s="1031" t="s">
        <v>637</v>
      </c>
      <c r="F39" s="2110" t="s">
        <v>638</v>
      </c>
      <c r="G39" s="2110"/>
      <c r="H39" s="2110"/>
      <c r="I39" s="2110"/>
      <c r="J39" s="2110"/>
    </row>
    <row r="40" spans="1:31" s="1727" customFormat="1" ht="37.5" customHeight="1">
      <c r="A40" s="771"/>
      <c r="B40" s="1406"/>
      <c r="C40" s="1406"/>
      <c r="D40" s="232"/>
      <c r="F40" s="2110" t="s">
        <v>639</v>
      </c>
      <c r="G40" s="2110"/>
      <c r="H40" s="2110"/>
      <c r="I40" s="2110"/>
      <c r="J40" s="2110"/>
      <c r="K40" s="929"/>
      <c r="L40" s="1406"/>
      <c r="M40" s="1406"/>
      <c r="N40" s="929"/>
      <c r="O40" s="929"/>
      <c r="P40" s="929"/>
      <c r="Q40" s="929"/>
      <c r="R40" s="1406"/>
      <c r="S40" s="929"/>
      <c r="T40" s="929"/>
      <c r="U40" s="402"/>
      <c r="V40" s="929"/>
      <c r="W40" s="929"/>
      <c r="X40" s="929"/>
      <c r="Y40" s="929"/>
      <c r="Z40" s="929"/>
      <c r="AA40" s="1402"/>
      <c r="AB40" s="424"/>
      <c r="AC40" s="424"/>
      <c r="AD40" s="424"/>
      <c r="AE40" s="424"/>
    </row>
    <row r="41" spans="1:31" s="1727" customFormat="1" ht="11.25" customHeight="1">
      <c r="A41" s="771"/>
      <c r="B41" s="1406"/>
      <c r="C41" s="1406"/>
      <c r="D41" s="232"/>
      <c r="K41" s="929"/>
      <c r="L41" s="1406"/>
      <c r="M41" s="1406"/>
      <c r="N41" s="929"/>
      <c r="O41" s="929"/>
      <c r="P41" s="929"/>
      <c r="Q41" s="929"/>
      <c r="R41" s="1406"/>
      <c r="S41" s="929"/>
      <c r="T41" s="929"/>
      <c r="U41" s="402"/>
      <c r="V41" s="929"/>
      <c r="W41" s="929"/>
      <c r="X41" s="929"/>
      <c r="Y41" s="929"/>
      <c r="Z41" s="929"/>
      <c r="AA41" s="1402"/>
      <c r="AB41" s="424"/>
      <c r="AC41" s="424"/>
      <c r="AD41" s="424"/>
      <c r="AE41" s="424"/>
    </row>
    <row r="42" spans="1:31" s="1727" customFormat="1" ht="11.25" customHeight="1">
      <c r="A42" s="771"/>
      <c r="B42" s="1406"/>
      <c r="C42" s="1406"/>
      <c r="D42" s="232"/>
      <c r="K42" s="929"/>
      <c r="L42" s="1406"/>
      <c r="M42" s="1406"/>
      <c r="N42" s="929"/>
      <c r="O42" s="929"/>
      <c r="P42" s="929"/>
      <c r="Q42" s="929"/>
      <c r="R42" s="1406"/>
      <c r="S42" s="929"/>
      <c r="T42" s="929"/>
      <c r="U42" s="402"/>
      <c r="V42" s="929"/>
      <c r="W42" s="929"/>
      <c r="X42" s="929"/>
      <c r="Y42" s="929"/>
      <c r="Z42" s="929"/>
      <c r="AA42" s="1402"/>
      <c r="AB42" s="424"/>
      <c r="AC42" s="424"/>
      <c r="AD42" s="424"/>
      <c r="AE42" s="424"/>
    </row>
    <row r="43" spans="1:31" s="1727" customFormat="1" ht="11.25" customHeight="1">
      <c r="A43" s="771"/>
      <c r="B43" s="1406"/>
      <c r="C43" s="1406"/>
      <c r="D43" s="232"/>
      <c r="H43" s="424"/>
      <c r="I43" s="424"/>
      <c r="K43" s="929"/>
      <c r="L43" s="1406"/>
      <c r="M43" s="1406"/>
      <c r="N43" s="929"/>
      <c r="O43" s="929"/>
      <c r="P43" s="929"/>
      <c r="Q43" s="929"/>
      <c r="R43" s="1406"/>
      <c r="S43" s="929"/>
      <c r="T43" s="929"/>
      <c r="U43" s="402"/>
      <c r="V43" s="929"/>
      <c r="W43" s="929"/>
      <c r="X43" s="929"/>
      <c r="Y43" s="929"/>
      <c r="Z43" s="929"/>
      <c r="AA43" s="1402"/>
      <c r="AB43" s="424"/>
      <c r="AC43" s="424"/>
      <c r="AD43" s="424"/>
      <c r="AE43" s="424"/>
    </row>
    <row r="44" spans="1:31" s="1727" customFormat="1" ht="11.25" customHeight="1">
      <c r="A44" s="771"/>
      <c r="B44" s="1406"/>
      <c r="C44" s="1406"/>
      <c r="D44" s="232"/>
      <c r="K44" s="929"/>
      <c r="L44" s="1406"/>
      <c r="M44" s="1406"/>
      <c r="N44" s="929"/>
      <c r="O44" s="929"/>
      <c r="P44" s="929"/>
      <c r="Q44" s="929"/>
      <c r="R44" s="1406"/>
      <c r="S44" s="929"/>
      <c r="T44" s="929"/>
      <c r="U44" s="402"/>
      <c r="V44" s="929"/>
      <c r="W44" s="929"/>
      <c r="X44" s="929"/>
      <c r="Y44" s="929"/>
      <c r="Z44" s="929"/>
      <c r="AA44" s="1402"/>
      <c r="AB44" s="424"/>
      <c r="AC44" s="424"/>
      <c r="AD44" s="424"/>
      <c r="AE44" s="424"/>
    </row>
    <row r="45" spans="1:31" s="1727" customFormat="1" ht="11.25" customHeight="1">
      <c r="A45" s="771"/>
      <c r="B45" s="1406"/>
      <c r="C45" s="1406"/>
      <c r="D45" s="232"/>
      <c r="K45" s="929"/>
      <c r="L45" s="1406"/>
      <c r="M45" s="1406"/>
      <c r="N45" s="929"/>
      <c r="O45" s="929"/>
      <c r="P45" s="929"/>
      <c r="Q45" s="929"/>
      <c r="R45" s="1406"/>
      <c r="S45" s="929"/>
      <c r="T45" s="929"/>
      <c r="U45" s="402"/>
      <c r="V45" s="929"/>
      <c r="W45" s="929"/>
      <c r="X45" s="929"/>
      <c r="Y45" s="929"/>
      <c r="Z45" s="929"/>
      <c r="AA45" s="1402"/>
      <c r="AB45" s="424"/>
      <c r="AC45" s="424"/>
      <c r="AD45" s="424"/>
      <c r="AE45" s="424"/>
    </row>
    <row r="46" spans="1:31" s="1727" customFormat="1" ht="11.25" customHeight="1">
      <c r="A46" s="771"/>
      <c r="B46" s="1406"/>
      <c r="C46" s="1406"/>
      <c r="D46" s="232"/>
      <c r="K46" s="929"/>
      <c r="L46" s="1406"/>
      <c r="M46" s="1406"/>
      <c r="N46" s="929"/>
      <c r="O46" s="929"/>
      <c r="P46" s="929"/>
      <c r="Q46" s="929"/>
      <c r="R46" s="1406"/>
      <c r="S46" s="929"/>
      <c r="T46" s="929"/>
      <c r="U46" s="402"/>
      <c r="V46" s="929"/>
      <c r="W46" s="929"/>
      <c r="X46" s="929"/>
      <c r="Y46" s="929"/>
      <c r="Z46" s="929"/>
      <c r="AA46" s="1402"/>
      <c r="AB46" s="424"/>
      <c r="AC46" s="424"/>
      <c r="AD46" s="424"/>
      <c r="AE46" s="424"/>
    </row>
    <row r="47" spans="1:31" s="1727" customFormat="1" ht="11.25" customHeight="1">
      <c r="A47" s="771"/>
      <c r="B47" s="1406"/>
      <c r="C47" s="1406"/>
      <c r="D47" s="232"/>
      <c r="K47" s="929"/>
      <c r="L47" s="1406"/>
      <c r="M47" s="1406"/>
      <c r="N47" s="929"/>
      <c r="O47" s="929"/>
      <c r="P47" s="929"/>
      <c r="Q47" s="929"/>
      <c r="R47" s="1406"/>
      <c r="S47" s="929"/>
      <c r="T47" s="929"/>
      <c r="U47" s="402"/>
      <c r="V47" s="929"/>
      <c r="W47" s="929"/>
      <c r="X47" s="929"/>
      <c r="Y47" s="929"/>
      <c r="Z47" s="929"/>
      <c r="AA47" s="1402"/>
      <c r="AB47" s="424"/>
      <c r="AC47" s="424"/>
      <c r="AD47" s="424"/>
      <c r="AE47" s="424"/>
    </row>
    <row r="48" spans="1:31" s="1727" customFormat="1" ht="11.25" customHeight="1">
      <c r="A48" s="771"/>
      <c r="B48" s="1406"/>
      <c r="C48" s="1406"/>
      <c r="D48" s="232"/>
      <c r="K48" s="929"/>
      <c r="L48" s="1406"/>
      <c r="M48" s="1406"/>
      <c r="N48" s="929"/>
      <c r="O48" s="929"/>
      <c r="P48" s="929"/>
      <c r="Q48" s="929"/>
      <c r="R48" s="1406"/>
      <c r="S48" s="929"/>
      <c r="T48" s="929"/>
      <c r="U48" s="402"/>
      <c r="V48" s="929"/>
      <c r="W48" s="929"/>
      <c r="X48" s="929"/>
      <c r="Y48" s="929"/>
      <c r="Z48" s="929"/>
      <c r="AA48" s="1402"/>
      <c r="AB48" s="424"/>
      <c r="AC48" s="424"/>
      <c r="AD48" s="424"/>
      <c r="AE48" s="424"/>
    </row>
    <row r="49" spans="1:31" s="1727" customFormat="1" ht="11.25" customHeight="1">
      <c r="A49" s="771"/>
      <c r="B49" s="1406"/>
      <c r="C49" s="1406"/>
      <c r="D49" s="232"/>
      <c r="K49" s="929"/>
      <c r="L49" s="1406"/>
      <c r="M49" s="1406"/>
      <c r="N49" s="929"/>
      <c r="O49" s="929"/>
      <c r="P49" s="929"/>
      <c r="Q49" s="929"/>
      <c r="R49" s="1406"/>
      <c r="S49" s="929"/>
      <c r="T49" s="929"/>
      <c r="U49" s="402"/>
      <c r="V49" s="929"/>
      <c r="W49" s="929"/>
      <c r="X49" s="929"/>
      <c r="Y49" s="929"/>
      <c r="Z49" s="929"/>
      <c r="AA49" s="1402"/>
      <c r="AB49" s="424"/>
      <c r="AC49" s="424"/>
      <c r="AD49" s="424"/>
      <c r="AE49" s="424"/>
    </row>
    <row r="50" spans="1:31" s="1727" customFormat="1" ht="11.25" customHeight="1">
      <c r="A50" s="771"/>
      <c r="B50" s="1406"/>
      <c r="C50" s="1406"/>
      <c r="D50" s="232"/>
      <c r="K50" s="929"/>
      <c r="L50" s="1406"/>
      <c r="M50" s="1406"/>
      <c r="N50" s="929"/>
      <c r="O50" s="929"/>
      <c r="P50" s="929"/>
      <c r="Q50" s="929"/>
      <c r="R50" s="1406"/>
      <c r="S50" s="929"/>
      <c r="T50" s="929"/>
      <c r="U50" s="402"/>
      <c r="V50" s="929"/>
      <c r="W50" s="929"/>
      <c r="X50" s="929"/>
      <c r="Y50" s="929"/>
      <c r="Z50" s="929"/>
      <c r="AA50" s="1402"/>
      <c r="AB50" s="424"/>
      <c r="AC50" s="424"/>
      <c r="AD50" s="424"/>
      <c r="AE50" s="424"/>
    </row>
    <row r="51" spans="1:31" s="1727" customFormat="1" ht="11.25" customHeight="1">
      <c r="A51" s="771"/>
      <c r="B51" s="1406"/>
      <c r="C51" s="1406"/>
      <c r="D51" s="232"/>
      <c r="K51" s="929"/>
      <c r="L51" s="1406"/>
      <c r="M51" s="1406"/>
      <c r="N51" s="929"/>
      <c r="O51" s="929"/>
      <c r="P51" s="929"/>
      <c r="Q51" s="929"/>
      <c r="R51" s="1406"/>
      <c r="S51" s="929"/>
      <c r="T51" s="929"/>
      <c r="U51" s="402"/>
      <c r="V51" s="929"/>
      <c r="W51" s="929"/>
      <c r="X51" s="929"/>
      <c r="Y51" s="929"/>
      <c r="Z51" s="929"/>
      <c r="AA51" s="1402"/>
      <c r="AB51" s="424"/>
      <c r="AC51" s="424"/>
      <c r="AD51" s="424"/>
      <c r="AE51" s="424"/>
    </row>
    <row r="52" spans="1:31" s="1727" customFormat="1" ht="11.25" customHeight="1">
      <c r="A52" s="771"/>
      <c r="B52" s="1406"/>
      <c r="C52" s="1406"/>
      <c r="D52" s="232"/>
      <c r="K52" s="929"/>
      <c r="L52" s="1406"/>
      <c r="M52" s="1406"/>
      <c r="N52" s="929"/>
      <c r="O52" s="929"/>
      <c r="P52" s="929"/>
      <c r="Q52" s="929"/>
      <c r="R52" s="1406"/>
      <c r="S52" s="929"/>
      <c r="T52" s="929"/>
      <c r="U52" s="402"/>
      <c r="V52" s="929"/>
      <c r="W52" s="929"/>
      <c r="X52" s="929"/>
      <c r="Y52" s="929"/>
      <c r="Z52" s="929"/>
      <c r="AA52" s="1402"/>
      <c r="AB52" s="424"/>
      <c r="AC52" s="424"/>
      <c r="AD52" s="424"/>
      <c r="AE52" s="424"/>
    </row>
    <row r="53" spans="1:31" s="1727" customFormat="1" ht="11.25" customHeight="1">
      <c r="A53" s="771"/>
      <c r="B53" s="1406"/>
      <c r="C53" s="1406"/>
      <c r="D53" s="232"/>
      <c r="K53" s="929"/>
      <c r="L53" s="1406"/>
      <c r="M53" s="1406"/>
      <c r="N53" s="929"/>
      <c r="O53" s="929"/>
      <c r="P53" s="929"/>
      <c r="Q53" s="929"/>
      <c r="R53" s="1406"/>
      <c r="S53" s="929"/>
      <c r="T53" s="929"/>
      <c r="U53" s="402"/>
      <c r="V53" s="929"/>
      <c r="W53" s="929"/>
      <c r="X53" s="929"/>
      <c r="Y53" s="929"/>
      <c r="Z53" s="929"/>
      <c r="AA53" s="1402"/>
      <c r="AB53" s="424"/>
      <c r="AC53" s="424"/>
      <c r="AD53" s="424"/>
      <c r="AE53" s="424"/>
    </row>
    <row r="54" spans="1:31" s="1727" customFormat="1" ht="11.25" customHeight="1">
      <c r="A54" s="771"/>
      <c r="B54" s="1406"/>
      <c r="C54" s="1406"/>
      <c r="D54" s="232"/>
      <c r="K54" s="929"/>
      <c r="L54" s="1406"/>
      <c r="M54" s="1406"/>
      <c r="N54" s="929"/>
      <c r="O54" s="929"/>
      <c r="P54" s="929"/>
      <c r="Q54" s="929"/>
      <c r="R54" s="1406"/>
      <c r="S54" s="929"/>
      <c r="T54" s="929"/>
      <c r="U54" s="402"/>
      <c r="V54" s="929"/>
      <c r="W54" s="929"/>
      <c r="X54" s="929"/>
      <c r="Y54" s="929"/>
      <c r="Z54" s="929"/>
      <c r="AA54" s="1402"/>
      <c r="AB54" s="424"/>
      <c r="AC54" s="424"/>
      <c r="AD54" s="424"/>
      <c r="AE54" s="424"/>
    </row>
    <row r="55" spans="1:31" s="1727" customFormat="1" ht="11.25" customHeight="1">
      <c r="A55" s="771"/>
      <c r="B55" s="1406"/>
      <c r="C55" s="1406"/>
      <c r="D55" s="232"/>
      <c r="K55" s="929"/>
      <c r="L55" s="1406"/>
      <c r="M55" s="1406"/>
      <c r="N55" s="929"/>
      <c r="O55" s="929"/>
      <c r="P55" s="929"/>
      <c r="Q55" s="929"/>
      <c r="R55" s="1406"/>
      <c r="S55" s="929"/>
      <c r="T55" s="929"/>
      <c r="U55" s="402"/>
      <c r="V55" s="929"/>
      <c r="W55" s="929"/>
      <c r="X55" s="929"/>
      <c r="Y55" s="929"/>
      <c r="Z55" s="929"/>
      <c r="AA55" s="1402"/>
      <c r="AB55" s="424"/>
      <c r="AC55" s="424"/>
      <c r="AD55" s="424"/>
      <c r="AE55" s="424"/>
    </row>
    <row r="56" spans="1:31" s="1727" customFormat="1" ht="11.25" customHeight="1">
      <c r="A56" s="771"/>
      <c r="B56" s="1406"/>
      <c r="C56" s="1406"/>
      <c r="D56" s="232"/>
      <c r="K56" s="929"/>
      <c r="L56" s="1406"/>
      <c r="M56" s="1406"/>
      <c r="N56" s="929"/>
      <c r="O56" s="929"/>
      <c r="P56" s="929"/>
      <c r="Q56" s="929"/>
      <c r="R56" s="1406"/>
      <c r="S56" s="929"/>
      <c r="T56" s="929"/>
      <c r="U56" s="402"/>
      <c r="V56" s="929"/>
      <c r="W56" s="929"/>
      <c r="X56" s="929"/>
      <c r="Y56" s="929"/>
      <c r="Z56" s="929"/>
      <c r="AA56" s="1402"/>
      <c r="AB56" s="424"/>
      <c r="AC56" s="424"/>
      <c r="AD56" s="424"/>
      <c r="AE56" s="424"/>
    </row>
    <row r="57" spans="1:31" s="1727" customFormat="1" ht="11.25" customHeight="1">
      <c r="A57" s="771"/>
      <c r="B57" s="1406"/>
      <c r="C57" s="1406"/>
      <c r="D57" s="232"/>
      <c r="K57" s="929"/>
      <c r="L57" s="1406"/>
      <c r="M57" s="1406"/>
      <c r="N57" s="929"/>
      <c r="O57" s="929"/>
      <c r="P57" s="929"/>
      <c r="Q57" s="929"/>
      <c r="R57" s="1406"/>
      <c r="S57" s="929"/>
      <c r="T57" s="929"/>
      <c r="U57" s="402"/>
      <c r="V57" s="929"/>
      <c r="W57" s="929"/>
      <c r="X57" s="929"/>
      <c r="Y57" s="929"/>
      <c r="Z57" s="929"/>
      <c r="AA57" s="1402"/>
      <c r="AB57" s="424"/>
      <c r="AC57" s="424"/>
      <c r="AD57" s="424"/>
      <c r="AE57" s="424"/>
    </row>
    <row r="58" spans="1:31" s="1727" customFormat="1" ht="11.25" customHeight="1">
      <c r="A58" s="771"/>
      <c r="B58" s="1406"/>
      <c r="C58" s="1406"/>
      <c r="D58" s="232"/>
      <c r="K58" s="929"/>
      <c r="L58" s="1406"/>
      <c r="M58" s="1406"/>
      <c r="N58" s="929"/>
      <c r="O58" s="929"/>
      <c r="P58" s="929"/>
      <c r="Q58" s="929"/>
      <c r="R58" s="1406"/>
      <c r="S58" s="929"/>
      <c r="T58" s="929"/>
      <c r="U58" s="402"/>
      <c r="V58" s="929"/>
      <c r="W58" s="929"/>
      <c r="X58" s="929"/>
      <c r="Y58" s="929"/>
      <c r="Z58" s="929"/>
      <c r="AA58" s="1402"/>
      <c r="AB58" s="424"/>
      <c r="AC58" s="424"/>
      <c r="AD58" s="424"/>
      <c r="AE58" s="424"/>
    </row>
    <row r="59" spans="1:31" s="1727" customFormat="1" ht="11.25" customHeight="1">
      <c r="A59" s="771"/>
      <c r="B59" s="1406"/>
      <c r="C59" s="1406"/>
      <c r="D59" s="232"/>
      <c r="K59" s="929"/>
      <c r="L59" s="1406"/>
      <c r="M59" s="1406"/>
      <c r="N59" s="929"/>
      <c r="O59" s="929"/>
      <c r="P59" s="929"/>
      <c r="Q59" s="929"/>
      <c r="R59" s="1406"/>
      <c r="S59" s="929"/>
      <c r="T59" s="929"/>
      <c r="U59" s="402"/>
      <c r="V59" s="929"/>
      <c r="W59" s="929"/>
      <c r="X59" s="929"/>
      <c r="Y59" s="929"/>
      <c r="Z59" s="929"/>
      <c r="AA59" s="1402"/>
      <c r="AB59" s="424"/>
      <c r="AC59" s="424"/>
      <c r="AD59" s="424"/>
      <c r="AE59" s="424"/>
    </row>
    <row r="60" spans="1:31" s="1727" customFormat="1" ht="11.25" customHeight="1">
      <c r="A60" s="771"/>
      <c r="B60" s="1406"/>
      <c r="C60" s="1406"/>
      <c r="D60" s="232"/>
      <c r="K60" s="929"/>
      <c r="L60" s="1406"/>
      <c r="M60" s="1406"/>
      <c r="N60" s="929"/>
      <c r="O60" s="929"/>
      <c r="P60" s="929"/>
      <c r="Q60" s="929"/>
      <c r="R60" s="1406"/>
      <c r="S60" s="929"/>
      <c r="T60" s="929"/>
      <c r="U60" s="402"/>
      <c r="V60" s="929"/>
      <c r="W60" s="929"/>
      <c r="X60" s="929"/>
      <c r="Y60" s="929"/>
      <c r="Z60" s="929"/>
      <c r="AA60" s="1402"/>
      <c r="AB60" s="424"/>
      <c r="AC60" s="424"/>
      <c r="AD60" s="424"/>
      <c r="AE60" s="424"/>
    </row>
    <row r="61" spans="1:31" s="1727" customFormat="1" ht="11.25" customHeight="1">
      <c r="A61" s="771"/>
      <c r="B61" s="1406"/>
      <c r="C61" s="1406"/>
      <c r="D61" s="232"/>
      <c r="K61" s="929"/>
      <c r="L61" s="1406"/>
      <c r="M61" s="1406"/>
      <c r="N61" s="929"/>
      <c r="O61" s="929"/>
      <c r="P61" s="929"/>
      <c r="Q61" s="929"/>
      <c r="R61" s="1406"/>
      <c r="S61" s="929"/>
      <c r="T61" s="929"/>
      <c r="U61" s="402"/>
      <c r="V61" s="929"/>
      <c r="W61" s="929"/>
      <c r="X61" s="929"/>
      <c r="Y61" s="929"/>
      <c r="Z61" s="929"/>
      <c r="AA61" s="1402"/>
      <c r="AB61" s="424"/>
      <c r="AC61" s="424"/>
      <c r="AD61" s="424"/>
      <c r="AE61" s="424"/>
    </row>
    <row r="62" spans="1:31" s="1727" customFormat="1" ht="11.25" customHeight="1">
      <c r="A62" s="771"/>
      <c r="B62" s="1406"/>
      <c r="C62" s="1406"/>
      <c r="D62" s="232"/>
      <c r="K62" s="929"/>
      <c r="L62" s="1406"/>
      <c r="M62" s="1406"/>
      <c r="N62" s="929"/>
      <c r="O62" s="929"/>
      <c r="P62" s="929"/>
      <c r="Q62" s="929"/>
      <c r="R62" s="1406"/>
      <c r="S62" s="929"/>
      <c r="T62" s="929"/>
      <c r="U62" s="402"/>
      <c r="V62" s="929"/>
      <c r="W62" s="929"/>
      <c r="X62" s="929"/>
      <c r="Y62" s="929"/>
      <c r="Z62" s="929"/>
      <c r="AA62" s="1402"/>
      <c r="AB62" s="424"/>
      <c r="AC62" s="424"/>
      <c r="AD62" s="424"/>
      <c r="AE62" s="424"/>
    </row>
    <row r="63" spans="1:31" s="1727" customFormat="1" ht="11.25" customHeight="1">
      <c r="A63" s="771"/>
      <c r="B63" s="1406"/>
      <c r="C63" s="1406"/>
      <c r="D63" s="232"/>
      <c r="K63" s="929"/>
      <c r="L63" s="1406"/>
      <c r="M63" s="1406"/>
      <c r="N63" s="929"/>
      <c r="O63" s="929"/>
      <c r="P63" s="929"/>
      <c r="Q63" s="929"/>
      <c r="R63" s="1406"/>
      <c r="S63" s="929"/>
      <c r="T63" s="929"/>
      <c r="U63" s="402"/>
      <c r="V63" s="929"/>
      <c r="W63" s="929"/>
      <c r="X63" s="929"/>
      <c r="Y63" s="929"/>
      <c r="Z63" s="929"/>
      <c r="AA63" s="1402"/>
      <c r="AB63" s="424"/>
      <c r="AC63" s="424"/>
      <c r="AD63" s="424"/>
      <c r="AE63" s="424"/>
    </row>
    <row r="64" spans="1:31" s="1727" customFormat="1" ht="11.25" customHeight="1">
      <c r="A64" s="771"/>
      <c r="B64" s="1406"/>
      <c r="C64" s="1406"/>
      <c r="D64" s="232"/>
      <c r="K64" s="929"/>
      <c r="L64" s="1406"/>
      <c r="M64" s="1406"/>
      <c r="N64" s="929"/>
      <c r="O64" s="929"/>
      <c r="P64" s="929"/>
      <c r="Q64" s="929"/>
      <c r="R64" s="1406"/>
      <c r="S64" s="929"/>
      <c r="T64" s="929"/>
      <c r="U64" s="402"/>
      <c r="V64" s="929"/>
      <c r="W64" s="929"/>
      <c r="X64" s="929"/>
      <c r="Y64" s="929"/>
      <c r="Z64" s="929"/>
      <c r="AA64" s="1402"/>
      <c r="AB64" s="424"/>
      <c r="AC64" s="424"/>
      <c r="AD64" s="424"/>
      <c r="AE64" s="424"/>
    </row>
    <row r="65" spans="1:31" s="1727" customFormat="1" ht="11.25" customHeight="1">
      <c r="A65" s="771"/>
      <c r="B65" s="1406"/>
      <c r="C65" s="1406"/>
      <c r="D65" s="232"/>
      <c r="K65" s="929"/>
      <c r="L65" s="1406"/>
      <c r="M65" s="1406"/>
      <c r="N65" s="929"/>
      <c r="O65" s="929"/>
      <c r="P65" s="929"/>
      <c r="Q65" s="929"/>
      <c r="R65" s="1406"/>
      <c r="S65" s="929"/>
      <c r="T65" s="929"/>
      <c r="U65" s="402"/>
      <c r="V65" s="929"/>
      <c r="W65" s="929"/>
      <c r="X65" s="929"/>
      <c r="Y65" s="929"/>
      <c r="Z65" s="929"/>
      <c r="AA65" s="1402"/>
      <c r="AB65" s="424"/>
      <c r="AC65" s="424"/>
      <c r="AD65" s="424"/>
      <c r="AE65" s="424"/>
    </row>
    <row r="66" spans="1:31" s="1727" customFormat="1" ht="11.25" customHeight="1">
      <c r="A66" s="771"/>
      <c r="B66" s="1406"/>
      <c r="C66" s="1406"/>
      <c r="D66" s="232"/>
      <c r="K66" s="929"/>
      <c r="L66" s="1406"/>
      <c r="M66" s="1406"/>
      <c r="N66" s="929"/>
      <c r="O66" s="929"/>
      <c r="P66" s="929"/>
      <c r="Q66" s="929"/>
      <c r="R66" s="1406"/>
      <c r="S66" s="929"/>
      <c r="T66" s="929"/>
      <c r="U66" s="402"/>
      <c r="V66" s="929"/>
      <c r="W66" s="929"/>
      <c r="X66" s="929"/>
      <c r="Y66" s="929"/>
      <c r="Z66" s="929"/>
      <c r="AA66" s="1402"/>
      <c r="AB66" s="424"/>
      <c r="AC66" s="424"/>
      <c r="AD66" s="424"/>
      <c r="AE66" s="424"/>
    </row>
    <row r="67" spans="1:31" s="1727" customFormat="1" ht="11.25" customHeight="1">
      <c r="A67" s="771"/>
      <c r="B67" s="1406"/>
      <c r="C67" s="1406"/>
      <c r="D67" s="232"/>
      <c r="K67" s="929"/>
      <c r="L67" s="1406"/>
      <c r="M67" s="1406"/>
      <c r="N67" s="929"/>
      <c r="O67" s="929"/>
      <c r="P67" s="929"/>
      <c r="Q67" s="929"/>
      <c r="R67" s="1406"/>
      <c r="S67" s="929"/>
      <c r="T67" s="929"/>
      <c r="U67" s="402"/>
      <c r="V67" s="929"/>
      <c r="W67" s="929"/>
      <c r="X67" s="929"/>
      <c r="Y67" s="929"/>
      <c r="Z67" s="929"/>
      <c r="AA67" s="1402"/>
      <c r="AB67" s="424"/>
      <c r="AC67" s="424"/>
      <c r="AD67" s="424"/>
      <c r="AE67" s="424"/>
    </row>
    <row r="68" spans="1:31" s="1727" customFormat="1" ht="11.25" customHeight="1">
      <c r="A68" s="771"/>
      <c r="B68" s="1406"/>
      <c r="C68" s="1406"/>
      <c r="D68" s="232"/>
      <c r="K68" s="929"/>
      <c r="L68" s="1406"/>
      <c r="M68" s="1406"/>
      <c r="N68" s="929"/>
      <c r="O68" s="929"/>
      <c r="P68" s="929"/>
      <c r="Q68" s="929"/>
      <c r="R68" s="1406"/>
      <c r="S68" s="929"/>
      <c r="T68" s="929"/>
      <c r="U68" s="402"/>
      <c r="V68" s="929"/>
      <c r="W68" s="929"/>
      <c r="X68" s="929"/>
      <c r="Y68" s="929"/>
      <c r="Z68" s="929"/>
      <c r="AA68" s="1402"/>
      <c r="AB68" s="424"/>
      <c r="AC68" s="424"/>
      <c r="AD68" s="424"/>
      <c r="AE68" s="424"/>
    </row>
    <row r="69" spans="1:31" s="1727" customFormat="1" ht="11.25" customHeight="1">
      <c r="A69" s="771"/>
      <c r="B69" s="1406"/>
      <c r="C69" s="1406"/>
      <c r="D69" s="232"/>
      <c r="K69" s="929"/>
      <c r="L69" s="1406"/>
      <c r="M69" s="1406"/>
      <c r="N69" s="929"/>
      <c r="O69" s="929"/>
      <c r="P69" s="929"/>
      <c r="Q69" s="929"/>
      <c r="R69" s="1406"/>
      <c r="S69" s="929"/>
      <c r="T69" s="929"/>
      <c r="U69" s="402"/>
      <c r="V69" s="929"/>
      <c r="W69" s="929"/>
      <c r="X69" s="929"/>
      <c r="Y69" s="929"/>
      <c r="Z69" s="929"/>
      <c r="AA69" s="1402"/>
      <c r="AB69" s="424"/>
      <c r="AC69" s="424"/>
      <c r="AD69" s="424"/>
      <c r="AE69" s="424"/>
    </row>
    <row r="70" spans="1:31" s="1727" customFormat="1" ht="11.25" customHeight="1">
      <c r="A70" s="771"/>
      <c r="B70" s="1406"/>
      <c r="C70" s="1406"/>
      <c r="D70" s="232"/>
      <c r="K70" s="929"/>
      <c r="L70" s="1406"/>
      <c r="M70" s="1406"/>
      <c r="N70" s="929"/>
      <c r="O70" s="929"/>
      <c r="P70" s="929"/>
      <c r="Q70" s="929"/>
      <c r="R70" s="1406"/>
      <c r="S70" s="929"/>
      <c r="T70" s="929"/>
      <c r="U70" s="402"/>
      <c r="V70" s="929"/>
      <c r="W70" s="929"/>
      <c r="X70" s="929"/>
      <c r="Y70" s="929"/>
      <c r="Z70" s="929"/>
      <c r="AA70" s="1402"/>
      <c r="AB70" s="424"/>
      <c r="AC70" s="424"/>
      <c r="AD70" s="424"/>
      <c r="AE70" s="424"/>
    </row>
    <row r="71" spans="1:31" s="1727" customFormat="1" ht="11.25" customHeight="1">
      <c r="A71" s="771"/>
      <c r="B71" s="1406"/>
      <c r="C71" s="1406"/>
      <c r="D71" s="232"/>
      <c r="K71" s="929"/>
      <c r="L71" s="1406"/>
      <c r="M71" s="1406"/>
      <c r="N71" s="929"/>
      <c r="O71" s="929"/>
      <c r="P71" s="929"/>
      <c r="Q71" s="929"/>
      <c r="R71" s="1406"/>
      <c r="S71" s="929"/>
      <c r="T71" s="929"/>
      <c r="U71" s="402"/>
      <c r="V71" s="929"/>
      <c r="W71" s="929"/>
      <c r="X71" s="929"/>
      <c r="Y71" s="929"/>
      <c r="Z71" s="929"/>
      <c r="AA71" s="1402"/>
      <c r="AB71" s="424"/>
      <c r="AC71" s="424"/>
      <c r="AD71" s="424"/>
      <c r="AE71" s="424"/>
    </row>
    <row r="72" spans="1:31" s="1727" customFormat="1" ht="11.25" customHeight="1">
      <c r="A72" s="771"/>
      <c r="B72" s="1406"/>
      <c r="C72" s="1406"/>
      <c r="D72" s="232"/>
      <c r="K72" s="929"/>
      <c r="L72" s="1406"/>
      <c r="M72" s="1406"/>
      <c r="N72" s="929"/>
      <c r="O72" s="929"/>
      <c r="P72" s="929"/>
      <c r="Q72" s="929"/>
      <c r="R72" s="1406"/>
      <c r="S72" s="929"/>
      <c r="T72" s="929"/>
      <c r="U72" s="402"/>
      <c r="V72" s="929"/>
      <c r="W72" s="929"/>
      <c r="X72" s="929"/>
      <c r="Y72" s="929"/>
      <c r="Z72" s="929"/>
      <c r="AA72" s="1402"/>
      <c r="AB72" s="424"/>
      <c r="AC72" s="424"/>
      <c r="AD72" s="424"/>
      <c r="AE72" s="424"/>
    </row>
    <row r="73" spans="1:31" s="1727" customFormat="1" ht="11.25" customHeight="1">
      <c r="A73" s="771"/>
      <c r="B73" s="1406"/>
      <c r="C73" s="1406"/>
      <c r="D73" s="232"/>
      <c r="K73" s="929"/>
      <c r="L73" s="1406"/>
      <c r="M73" s="1406"/>
      <c r="N73" s="929"/>
      <c r="O73" s="929"/>
      <c r="P73" s="929"/>
      <c r="Q73" s="929"/>
      <c r="R73" s="1406"/>
      <c r="S73" s="929"/>
      <c r="T73" s="929"/>
      <c r="U73" s="402"/>
      <c r="V73" s="929"/>
      <c r="W73" s="929"/>
      <c r="X73" s="929"/>
      <c r="Y73" s="929"/>
      <c r="Z73" s="929"/>
      <c r="AA73" s="1402"/>
      <c r="AB73" s="424"/>
      <c r="AC73" s="424"/>
      <c r="AD73" s="424"/>
      <c r="AE73" s="424"/>
    </row>
    <row r="74" spans="1:31" s="1727" customFormat="1" ht="11.25" customHeight="1">
      <c r="A74" s="771"/>
      <c r="B74" s="1406"/>
      <c r="C74" s="1406"/>
      <c r="D74" s="232"/>
      <c r="K74" s="929"/>
      <c r="L74" s="1406"/>
      <c r="M74" s="1406"/>
      <c r="N74" s="929"/>
      <c r="O74" s="929"/>
      <c r="P74" s="929"/>
      <c r="Q74" s="929"/>
      <c r="R74" s="1406"/>
      <c r="S74" s="929"/>
      <c r="T74" s="929"/>
      <c r="U74" s="402"/>
      <c r="V74" s="929"/>
      <c r="W74" s="929"/>
      <c r="X74" s="929"/>
      <c r="Y74" s="929"/>
      <c r="Z74" s="929"/>
      <c r="AA74" s="1402"/>
      <c r="AB74" s="424"/>
      <c r="AC74" s="424"/>
      <c r="AD74" s="424"/>
      <c r="AE74" s="424"/>
    </row>
    <row r="75" spans="1:31" s="1727" customFormat="1" ht="11.25" customHeight="1">
      <c r="A75" s="771"/>
      <c r="B75" s="1406"/>
      <c r="C75" s="1406"/>
      <c r="D75" s="232"/>
      <c r="K75" s="929"/>
      <c r="L75" s="1406"/>
      <c r="M75" s="1406"/>
      <c r="N75" s="929"/>
      <c r="O75" s="929"/>
      <c r="P75" s="929"/>
      <c r="Q75" s="929"/>
      <c r="R75" s="1406"/>
      <c r="S75" s="929"/>
      <c r="T75" s="929"/>
      <c r="U75" s="402"/>
      <c r="V75" s="929"/>
      <c r="W75" s="929"/>
      <c r="X75" s="929"/>
      <c r="Y75" s="929"/>
      <c r="Z75" s="929"/>
      <c r="AA75" s="1402"/>
      <c r="AB75" s="424"/>
      <c r="AC75" s="424"/>
      <c r="AD75" s="424"/>
      <c r="AE75" s="424"/>
    </row>
    <row r="76" spans="1:31" s="1727" customFormat="1" ht="11.25" customHeight="1">
      <c r="A76" s="771"/>
      <c r="B76" s="1406"/>
      <c r="C76" s="1406"/>
      <c r="D76" s="232"/>
      <c r="K76" s="929"/>
      <c r="L76" s="1406"/>
      <c r="M76" s="1406"/>
      <c r="N76" s="929"/>
      <c r="O76" s="929"/>
      <c r="P76" s="929"/>
      <c r="Q76" s="929"/>
      <c r="R76" s="1406"/>
      <c r="S76" s="929"/>
      <c r="T76" s="929"/>
      <c r="U76" s="402"/>
      <c r="V76" s="929"/>
      <c r="W76" s="929"/>
      <c r="X76" s="929"/>
      <c r="Y76" s="929"/>
      <c r="Z76" s="929"/>
      <c r="AA76" s="1402"/>
      <c r="AB76" s="424"/>
      <c r="AC76" s="424"/>
      <c r="AD76" s="424"/>
      <c r="AE76" s="424"/>
    </row>
    <row r="77" spans="1:31" s="1727" customFormat="1" ht="11.25" customHeight="1">
      <c r="A77" s="771"/>
      <c r="B77" s="1406"/>
      <c r="C77" s="1406"/>
      <c r="D77" s="232"/>
      <c r="K77" s="929"/>
      <c r="L77" s="1406"/>
      <c r="M77" s="1406"/>
      <c r="N77" s="929"/>
      <c r="O77" s="929"/>
      <c r="P77" s="929"/>
      <c r="Q77" s="929"/>
      <c r="R77" s="1406"/>
      <c r="S77" s="929"/>
      <c r="T77" s="929"/>
      <c r="U77" s="402"/>
      <c r="V77" s="929"/>
      <c r="W77" s="929"/>
      <c r="X77" s="929"/>
      <c r="Y77" s="929"/>
      <c r="Z77" s="929"/>
      <c r="AA77" s="1402"/>
      <c r="AB77" s="424"/>
      <c r="AC77" s="424"/>
      <c r="AD77" s="424"/>
      <c r="AE77" s="424"/>
    </row>
    <row r="78" spans="1:31" s="1727" customFormat="1" ht="11.25" customHeight="1">
      <c r="A78" s="771"/>
      <c r="B78" s="1406"/>
      <c r="C78" s="1406"/>
      <c r="D78" s="232"/>
      <c r="K78" s="929"/>
      <c r="L78" s="1406"/>
      <c r="M78" s="1406"/>
      <c r="N78" s="929"/>
      <c r="O78" s="929"/>
      <c r="P78" s="929"/>
      <c r="Q78" s="929"/>
      <c r="R78" s="1406"/>
      <c r="S78" s="929"/>
      <c r="T78" s="929"/>
      <c r="U78" s="402"/>
      <c r="V78" s="929"/>
      <c r="W78" s="929"/>
      <c r="X78" s="929"/>
      <c r="Y78" s="929"/>
      <c r="Z78" s="929"/>
      <c r="AA78" s="1402"/>
      <c r="AB78" s="424"/>
      <c r="AC78" s="424"/>
      <c r="AD78" s="424"/>
      <c r="AE78" s="424"/>
    </row>
    <row r="79" spans="1:31" s="1727" customFormat="1" ht="11.25" customHeight="1">
      <c r="A79" s="771"/>
      <c r="B79" s="1406"/>
      <c r="C79" s="1406"/>
      <c r="D79" s="232"/>
      <c r="K79" s="929"/>
      <c r="L79" s="1406"/>
      <c r="M79" s="1406"/>
      <c r="N79" s="929"/>
      <c r="O79" s="929"/>
      <c r="P79" s="929"/>
      <c r="Q79" s="929"/>
      <c r="R79" s="1406"/>
      <c r="S79" s="929"/>
      <c r="T79" s="929"/>
      <c r="U79" s="402"/>
      <c r="V79" s="929"/>
      <c r="W79" s="929"/>
      <c r="X79" s="929"/>
      <c r="Y79" s="929"/>
      <c r="Z79" s="929"/>
      <c r="AA79" s="1402"/>
      <c r="AB79" s="424"/>
      <c r="AC79" s="424"/>
      <c r="AD79" s="424"/>
      <c r="AE79" s="424"/>
    </row>
    <row r="80" spans="1:31" s="1727" customFormat="1" ht="11.25" customHeight="1">
      <c r="A80" s="771"/>
      <c r="B80" s="1406"/>
      <c r="C80" s="1406"/>
      <c r="D80" s="232"/>
      <c r="K80" s="929"/>
      <c r="L80" s="1406"/>
      <c r="M80" s="1406"/>
      <c r="N80" s="929"/>
      <c r="O80" s="929"/>
      <c r="P80" s="929"/>
      <c r="Q80" s="929"/>
      <c r="R80" s="1406"/>
      <c r="S80" s="929"/>
      <c r="T80" s="929"/>
      <c r="U80" s="402"/>
      <c r="V80" s="929"/>
      <c r="W80" s="929"/>
      <c r="X80" s="929"/>
      <c r="Y80" s="929"/>
      <c r="Z80" s="929"/>
      <c r="AA80" s="1402"/>
      <c r="AB80" s="424"/>
      <c r="AC80" s="424"/>
      <c r="AD80" s="424"/>
      <c r="AE80" s="424"/>
    </row>
    <row r="81" spans="1:31" s="1727" customFormat="1" ht="11.25" customHeight="1">
      <c r="A81" s="771"/>
      <c r="B81" s="1406"/>
      <c r="C81" s="1406"/>
      <c r="D81" s="232"/>
      <c r="K81" s="929"/>
      <c r="L81" s="1406"/>
      <c r="M81" s="1406"/>
      <c r="N81" s="929"/>
      <c r="O81" s="929"/>
      <c r="P81" s="929"/>
      <c r="Q81" s="929"/>
      <c r="R81" s="1406"/>
      <c r="S81" s="929"/>
      <c r="T81" s="929"/>
      <c r="U81" s="402"/>
      <c r="V81" s="929"/>
      <c r="W81" s="929"/>
      <c r="X81" s="929"/>
      <c r="Y81" s="929"/>
      <c r="Z81" s="929"/>
      <c r="AA81" s="1402"/>
      <c r="AB81" s="424"/>
      <c r="AC81" s="424"/>
      <c r="AD81" s="424"/>
      <c r="AE81" s="424"/>
    </row>
    <row r="82" spans="1:31" s="1727" customFormat="1" ht="11.25" customHeight="1">
      <c r="A82" s="771"/>
      <c r="B82" s="1406"/>
      <c r="C82" s="1406"/>
      <c r="D82" s="232"/>
      <c r="K82" s="929"/>
      <c r="L82" s="1406"/>
      <c r="M82" s="1406"/>
      <c r="N82" s="929"/>
      <c r="O82" s="929"/>
      <c r="P82" s="929"/>
      <c r="Q82" s="929"/>
      <c r="R82" s="1406"/>
      <c r="S82" s="929"/>
      <c r="T82" s="929"/>
      <c r="U82" s="402"/>
      <c r="V82" s="929"/>
      <c r="W82" s="929"/>
      <c r="X82" s="929"/>
      <c r="Y82" s="929"/>
      <c r="Z82" s="929"/>
      <c r="AA82" s="1402"/>
      <c r="AB82" s="424"/>
      <c r="AC82" s="424"/>
      <c r="AD82" s="424"/>
      <c r="AE82" s="424"/>
    </row>
    <row r="83" spans="1:31" s="1727" customFormat="1" ht="11.25" customHeight="1">
      <c r="A83" s="771"/>
      <c r="B83" s="1406"/>
      <c r="C83" s="1406"/>
      <c r="D83" s="232"/>
      <c r="K83" s="929"/>
      <c r="L83" s="1406"/>
      <c r="M83" s="1406"/>
      <c r="N83" s="929"/>
      <c r="O83" s="929"/>
      <c r="P83" s="929"/>
      <c r="Q83" s="929"/>
      <c r="R83" s="1406"/>
      <c r="S83" s="929"/>
      <c r="T83" s="929"/>
      <c r="U83" s="402"/>
      <c r="V83" s="929"/>
      <c r="W83" s="929"/>
      <c r="X83" s="929"/>
      <c r="Y83" s="929"/>
      <c r="Z83" s="929"/>
      <c r="AA83" s="1402"/>
      <c r="AB83" s="424"/>
      <c r="AC83" s="424"/>
      <c r="AD83" s="424"/>
      <c r="AE83" s="424"/>
    </row>
    <row r="84" spans="1:31" s="1727" customFormat="1" ht="11.25" customHeight="1">
      <c r="A84" s="771"/>
      <c r="B84" s="1406"/>
      <c r="C84" s="1406"/>
      <c r="D84" s="232"/>
      <c r="K84" s="929"/>
      <c r="L84" s="1406"/>
      <c r="M84" s="1406"/>
      <c r="N84" s="929"/>
      <c r="O84" s="929"/>
      <c r="P84" s="929"/>
      <c r="Q84" s="929"/>
      <c r="R84" s="1406"/>
      <c r="S84" s="929"/>
      <c r="T84" s="929"/>
      <c r="U84" s="402"/>
      <c r="V84" s="929"/>
      <c r="W84" s="929"/>
      <c r="X84" s="929"/>
      <c r="Y84" s="929"/>
      <c r="Z84" s="929"/>
      <c r="AA84" s="1402"/>
      <c r="AB84" s="424"/>
      <c r="AC84" s="424"/>
      <c r="AD84" s="424"/>
      <c r="AE84" s="424"/>
    </row>
    <row r="85" spans="1:31" s="1727" customFormat="1" ht="11.25" customHeight="1">
      <c r="A85" s="771"/>
      <c r="B85" s="1406"/>
      <c r="C85" s="1406"/>
      <c r="D85" s="232"/>
      <c r="K85" s="929"/>
      <c r="L85" s="1406"/>
      <c r="M85" s="1406"/>
      <c r="N85" s="929"/>
      <c r="O85" s="929"/>
      <c r="P85" s="929"/>
      <c r="Q85" s="929"/>
      <c r="R85" s="1406"/>
      <c r="S85" s="929"/>
      <c r="T85" s="929"/>
      <c r="U85" s="402"/>
      <c r="V85" s="929"/>
      <c r="W85" s="929"/>
      <c r="X85" s="929"/>
      <c r="Y85" s="929"/>
      <c r="Z85" s="929"/>
      <c r="AA85" s="1402"/>
      <c r="AB85" s="424"/>
      <c r="AC85" s="424"/>
      <c r="AD85" s="424"/>
      <c r="AE85" s="424"/>
    </row>
    <row r="86" spans="1:31" s="1727" customFormat="1" ht="11.25" customHeight="1">
      <c r="A86" s="771"/>
      <c r="B86" s="1406"/>
      <c r="C86" s="1406"/>
      <c r="D86" s="232"/>
      <c r="K86" s="929"/>
      <c r="L86" s="1406"/>
      <c r="M86" s="1406"/>
      <c r="N86" s="929"/>
      <c r="O86" s="929"/>
      <c r="P86" s="929"/>
      <c r="Q86" s="929"/>
      <c r="R86" s="1406"/>
      <c r="S86" s="929"/>
      <c r="T86" s="929"/>
      <c r="U86" s="402"/>
      <c r="V86" s="929"/>
      <c r="W86" s="929"/>
      <c r="X86" s="929"/>
      <c r="Y86" s="929"/>
      <c r="Z86" s="929"/>
      <c r="AA86" s="1402"/>
      <c r="AB86" s="424"/>
      <c r="AC86" s="424"/>
      <c r="AD86" s="424"/>
      <c r="AE86" s="424"/>
    </row>
    <row r="87" spans="1:31" s="1727" customFormat="1" ht="11.25" customHeight="1">
      <c r="A87" s="771"/>
      <c r="B87" s="1406"/>
      <c r="C87" s="1406"/>
      <c r="D87" s="232"/>
      <c r="K87" s="929"/>
      <c r="L87" s="1406"/>
      <c r="M87" s="1406"/>
      <c r="N87" s="929"/>
      <c r="O87" s="929"/>
      <c r="P87" s="929"/>
      <c r="Q87" s="929"/>
      <c r="R87" s="1406"/>
      <c r="S87" s="929"/>
      <c r="T87" s="929"/>
      <c r="U87" s="402"/>
      <c r="V87" s="929"/>
      <c r="W87" s="929"/>
      <c r="X87" s="929"/>
      <c r="Y87" s="929"/>
      <c r="Z87" s="929"/>
      <c r="AA87" s="1402"/>
      <c r="AB87" s="424"/>
      <c r="AC87" s="424"/>
      <c r="AD87" s="424"/>
      <c r="AE87" s="424"/>
    </row>
    <row r="88" spans="1:31" s="1727" customFormat="1" ht="11.25" customHeight="1">
      <c r="A88" s="771"/>
      <c r="B88" s="1406"/>
      <c r="C88" s="1406"/>
      <c r="D88" s="232"/>
      <c r="K88" s="929"/>
      <c r="L88" s="1406"/>
      <c r="M88" s="1406"/>
      <c r="N88" s="929"/>
      <c r="O88" s="929"/>
      <c r="P88" s="929"/>
      <c r="Q88" s="929"/>
      <c r="R88" s="1406"/>
      <c r="S88" s="929"/>
      <c r="T88" s="929"/>
      <c r="U88" s="402"/>
      <c r="V88" s="929"/>
      <c r="W88" s="929"/>
      <c r="X88" s="929"/>
      <c r="Y88" s="929"/>
      <c r="Z88" s="929"/>
      <c r="AA88" s="1402"/>
      <c r="AB88" s="424"/>
      <c r="AC88" s="424"/>
      <c r="AD88" s="424"/>
      <c r="AE88" s="424"/>
    </row>
    <row r="89" spans="1:31" s="1727" customFormat="1" ht="11.25" customHeight="1">
      <c r="A89" s="771"/>
      <c r="B89" s="1406"/>
      <c r="C89" s="1406"/>
      <c r="D89" s="232"/>
      <c r="K89" s="929"/>
      <c r="L89" s="1406"/>
      <c r="M89" s="1406"/>
      <c r="N89" s="929"/>
      <c r="O89" s="929"/>
      <c r="P89" s="929"/>
      <c r="Q89" s="929"/>
      <c r="R89" s="1406"/>
      <c r="S89" s="929"/>
      <c r="T89" s="929"/>
      <c r="U89" s="402"/>
      <c r="V89" s="929"/>
      <c r="W89" s="929"/>
      <c r="X89" s="929"/>
      <c r="Y89" s="929"/>
      <c r="Z89" s="929"/>
      <c r="AA89" s="1402"/>
      <c r="AB89" s="424"/>
      <c r="AC89" s="424"/>
      <c r="AD89" s="424"/>
      <c r="AE89" s="424"/>
    </row>
    <row r="90" spans="1:31" s="1727" customFormat="1" ht="11.25" customHeight="1">
      <c r="A90" s="771"/>
      <c r="B90" s="1406"/>
      <c r="C90" s="1406"/>
      <c r="D90" s="232"/>
      <c r="K90" s="929"/>
      <c r="L90" s="1406"/>
      <c r="M90" s="1406"/>
      <c r="N90" s="929"/>
      <c r="O90" s="929"/>
      <c r="P90" s="929"/>
      <c r="Q90" s="929"/>
      <c r="R90" s="1406"/>
      <c r="S90" s="929"/>
      <c r="T90" s="929"/>
      <c r="U90" s="402"/>
      <c r="V90" s="929"/>
      <c r="W90" s="929"/>
      <c r="X90" s="929"/>
      <c r="Y90" s="929"/>
      <c r="Z90" s="929"/>
      <c r="AA90" s="1402"/>
      <c r="AB90" s="424"/>
      <c r="AC90" s="424"/>
      <c r="AD90" s="424"/>
      <c r="AE90" s="424"/>
    </row>
    <row r="91" spans="1:31" s="1727" customFormat="1" ht="11.25" customHeight="1">
      <c r="A91" s="771"/>
      <c r="B91" s="1406"/>
      <c r="C91" s="1406"/>
      <c r="D91" s="232"/>
      <c r="K91" s="929"/>
      <c r="L91" s="1406"/>
      <c r="M91" s="1406"/>
      <c r="N91" s="929"/>
      <c r="O91" s="929"/>
      <c r="P91" s="929"/>
      <c r="Q91" s="929"/>
      <c r="R91" s="1406"/>
      <c r="S91" s="929"/>
      <c r="T91" s="929"/>
      <c r="U91" s="402"/>
      <c r="V91" s="929"/>
      <c r="W91" s="929"/>
      <c r="X91" s="929"/>
      <c r="Y91" s="929"/>
      <c r="Z91" s="929"/>
      <c r="AA91" s="1402"/>
      <c r="AB91" s="424"/>
      <c r="AC91" s="424"/>
      <c r="AD91" s="424"/>
      <c r="AE91" s="424"/>
    </row>
    <row r="92" spans="1:31" s="1727" customFormat="1" ht="11.25" customHeight="1">
      <c r="A92" s="771"/>
      <c r="B92" s="1406"/>
      <c r="C92" s="1406"/>
      <c r="D92" s="232"/>
      <c r="K92" s="929"/>
      <c r="L92" s="1406"/>
      <c r="M92" s="1406"/>
      <c r="N92" s="929"/>
      <c r="O92" s="929"/>
      <c r="P92" s="929"/>
      <c r="Q92" s="929"/>
      <c r="R92" s="1406"/>
      <c r="S92" s="929"/>
      <c r="T92" s="929"/>
      <c r="U92" s="402"/>
      <c r="V92" s="929"/>
      <c r="W92" s="929"/>
      <c r="X92" s="929"/>
      <c r="Y92" s="929"/>
      <c r="Z92" s="929"/>
      <c r="AA92" s="1402"/>
      <c r="AB92" s="424"/>
      <c r="AC92" s="424"/>
      <c r="AD92" s="424"/>
      <c r="AE92" s="424"/>
    </row>
    <row r="93" spans="1:31" s="1727" customFormat="1" ht="11.25" customHeight="1">
      <c r="A93" s="771"/>
      <c r="B93" s="1406"/>
      <c r="C93" s="1406"/>
      <c r="D93" s="232"/>
      <c r="K93" s="929"/>
      <c r="L93" s="1406"/>
      <c r="M93" s="1406"/>
      <c r="N93" s="929"/>
      <c r="O93" s="929"/>
      <c r="P93" s="929"/>
      <c r="Q93" s="929"/>
      <c r="R93" s="1406"/>
      <c r="S93" s="929"/>
      <c r="T93" s="929"/>
      <c r="U93" s="402"/>
      <c r="V93" s="929"/>
      <c r="W93" s="929"/>
      <c r="X93" s="929"/>
      <c r="Y93" s="929"/>
      <c r="Z93" s="929"/>
      <c r="AA93" s="1402"/>
      <c r="AB93" s="424"/>
      <c r="AC93" s="424"/>
      <c r="AD93" s="424"/>
      <c r="AE93" s="424"/>
    </row>
    <row r="94" spans="1:31" s="1727" customFormat="1" ht="11.25" customHeight="1">
      <c r="A94" s="771"/>
      <c r="B94" s="1406"/>
      <c r="C94" s="1406"/>
      <c r="D94" s="232"/>
      <c r="K94" s="929"/>
      <c r="L94" s="1406"/>
      <c r="M94" s="1406"/>
      <c r="N94" s="929"/>
      <c r="O94" s="929"/>
      <c r="P94" s="929"/>
      <c r="Q94" s="929"/>
      <c r="R94" s="1406"/>
      <c r="S94" s="929"/>
      <c r="T94" s="929"/>
      <c r="U94" s="402"/>
      <c r="V94" s="929"/>
      <c r="W94" s="929"/>
      <c r="X94" s="929"/>
      <c r="Y94" s="929"/>
      <c r="Z94" s="929"/>
      <c r="AA94" s="1402"/>
      <c r="AB94" s="424"/>
      <c r="AC94" s="424"/>
      <c r="AD94" s="424"/>
      <c r="AE94" s="424"/>
    </row>
    <row r="95" spans="1:31" s="1727" customFormat="1" ht="11.25" customHeight="1">
      <c r="A95" s="771"/>
      <c r="B95" s="1406"/>
      <c r="C95" s="1406"/>
      <c r="D95" s="232"/>
      <c r="K95" s="929"/>
      <c r="L95" s="1406"/>
      <c r="M95" s="1406"/>
      <c r="N95" s="929"/>
      <c r="O95" s="929"/>
      <c r="P95" s="929"/>
      <c r="Q95" s="929"/>
      <c r="R95" s="1406"/>
      <c r="S95" s="929"/>
      <c r="T95" s="929"/>
      <c r="U95" s="402"/>
      <c r="V95" s="929"/>
      <c r="W95" s="929"/>
      <c r="X95" s="929"/>
      <c r="Y95" s="929"/>
      <c r="Z95" s="929"/>
      <c r="AA95" s="1402"/>
      <c r="AB95" s="424"/>
      <c r="AC95" s="424"/>
      <c r="AD95" s="424"/>
      <c r="AE95" s="424"/>
    </row>
    <row r="96" spans="1:31" s="1727" customFormat="1" ht="11.25" customHeight="1">
      <c r="A96" s="771"/>
      <c r="B96" s="1406"/>
      <c r="C96" s="1406"/>
      <c r="D96" s="232"/>
      <c r="K96" s="929"/>
      <c r="L96" s="1406"/>
      <c r="M96" s="1406"/>
      <c r="N96" s="929"/>
      <c r="O96" s="929"/>
      <c r="P96" s="929"/>
      <c r="Q96" s="929"/>
      <c r="R96" s="1406"/>
      <c r="S96" s="929"/>
      <c r="T96" s="929"/>
      <c r="U96" s="402"/>
      <c r="V96" s="929"/>
      <c r="W96" s="929"/>
      <c r="X96" s="929"/>
      <c r="Y96" s="929"/>
      <c r="Z96" s="929"/>
      <c r="AA96" s="1402"/>
      <c r="AB96" s="424"/>
      <c r="AC96" s="424"/>
      <c r="AD96" s="424"/>
      <c r="AE96" s="424"/>
    </row>
    <row r="97" spans="1:31" s="1727" customFormat="1" ht="11.25" customHeight="1">
      <c r="A97" s="771"/>
      <c r="B97" s="1406"/>
      <c r="C97" s="1406"/>
      <c r="D97" s="232"/>
      <c r="K97" s="929"/>
      <c r="L97" s="1406"/>
      <c r="M97" s="1406"/>
      <c r="N97" s="929"/>
      <c r="O97" s="929"/>
      <c r="P97" s="929"/>
      <c r="Q97" s="929"/>
      <c r="R97" s="1406"/>
      <c r="S97" s="929"/>
      <c r="T97" s="929"/>
      <c r="U97" s="402"/>
      <c r="V97" s="929"/>
      <c r="W97" s="929"/>
      <c r="X97" s="929"/>
      <c r="Y97" s="929"/>
      <c r="Z97" s="929"/>
      <c r="AA97" s="1402"/>
      <c r="AB97" s="424"/>
      <c r="AC97" s="424"/>
      <c r="AD97" s="424"/>
      <c r="AE97" s="424"/>
    </row>
    <row r="98" spans="1:31" s="1727" customFormat="1" ht="11.25" customHeight="1">
      <c r="A98" s="771"/>
      <c r="B98" s="1406"/>
      <c r="C98" s="1406"/>
      <c r="D98" s="232"/>
      <c r="K98" s="929"/>
      <c r="L98" s="1406"/>
      <c r="M98" s="1406"/>
      <c r="N98" s="929"/>
      <c r="O98" s="929"/>
      <c r="P98" s="929"/>
      <c r="Q98" s="929"/>
      <c r="R98" s="1406"/>
      <c r="S98" s="929"/>
      <c r="T98" s="929"/>
      <c r="U98" s="402"/>
      <c r="V98" s="929"/>
      <c r="W98" s="929"/>
      <c r="X98" s="929"/>
      <c r="Y98" s="929"/>
      <c r="Z98" s="929"/>
      <c r="AA98" s="1402"/>
      <c r="AB98" s="424"/>
      <c r="AC98" s="424"/>
      <c r="AD98" s="424"/>
      <c r="AE98" s="424"/>
    </row>
    <row r="99" spans="1:31" s="1727" customFormat="1" ht="11.25" customHeight="1">
      <c r="A99" s="771"/>
      <c r="B99" s="1406"/>
      <c r="C99" s="1406"/>
      <c r="D99" s="232"/>
      <c r="K99" s="929"/>
      <c r="L99" s="1406"/>
      <c r="M99" s="1406"/>
      <c r="N99" s="929"/>
      <c r="O99" s="929"/>
      <c r="P99" s="929"/>
      <c r="Q99" s="929"/>
      <c r="R99" s="1406"/>
      <c r="S99" s="929"/>
      <c r="T99" s="929"/>
      <c r="U99" s="402"/>
      <c r="V99" s="929"/>
      <c r="W99" s="929"/>
      <c r="X99" s="929"/>
      <c r="Y99" s="929"/>
      <c r="Z99" s="929"/>
      <c r="AA99" s="1402"/>
      <c r="AB99" s="424"/>
      <c r="AC99" s="424"/>
      <c r="AD99" s="424"/>
      <c r="AE99" s="424"/>
    </row>
    <row r="100" spans="1:31" s="1727" customFormat="1" ht="11.25" customHeight="1">
      <c r="A100" s="771"/>
      <c r="B100" s="1406"/>
      <c r="C100" s="1406"/>
      <c r="D100" s="232"/>
      <c r="K100" s="929"/>
      <c r="L100" s="1406"/>
      <c r="M100" s="1406"/>
      <c r="N100" s="929"/>
      <c r="O100" s="929"/>
      <c r="P100" s="929"/>
      <c r="Q100" s="929"/>
      <c r="R100" s="1406"/>
      <c r="S100" s="929"/>
      <c r="T100" s="929"/>
      <c r="U100" s="402"/>
      <c r="V100" s="929"/>
      <c r="W100" s="929"/>
      <c r="X100" s="929"/>
      <c r="Y100" s="929"/>
      <c r="Z100" s="929"/>
      <c r="AA100" s="1402"/>
      <c r="AB100" s="424"/>
      <c r="AC100" s="424"/>
      <c r="AD100" s="424"/>
      <c r="AE100" s="424"/>
    </row>
    <row r="101" spans="1:31" s="1727" customFormat="1" ht="11.25" customHeight="1">
      <c r="A101" s="771"/>
      <c r="B101" s="1406"/>
      <c r="C101" s="1406"/>
      <c r="D101" s="232"/>
      <c r="K101" s="929"/>
      <c r="L101" s="1406"/>
      <c r="M101" s="1406"/>
      <c r="N101" s="929"/>
      <c r="O101" s="929"/>
      <c r="P101" s="929"/>
      <c r="Q101" s="929"/>
      <c r="R101" s="1406"/>
      <c r="S101" s="929"/>
      <c r="T101" s="929"/>
      <c r="U101" s="402"/>
      <c r="V101" s="929"/>
      <c r="W101" s="929"/>
      <c r="X101" s="929"/>
      <c r="Y101" s="929"/>
      <c r="Z101" s="929"/>
      <c r="AA101" s="1402"/>
      <c r="AB101" s="424"/>
      <c r="AC101" s="424"/>
      <c r="AD101" s="424"/>
      <c r="AE101" s="424"/>
    </row>
    <row r="102" spans="1:31" s="1727" customFormat="1" ht="11.25" customHeight="1">
      <c r="A102" s="771"/>
      <c r="B102" s="1406"/>
      <c r="C102" s="1406"/>
      <c r="D102" s="232"/>
      <c r="K102" s="929"/>
      <c r="L102" s="1406"/>
      <c r="M102" s="1406"/>
      <c r="N102" s="929"/>
      <c r="O102" s="929"/>
      <c r="P102" s="929"/>
      <c r="Q102" s="929"/>
      <c r="R102" s="1406"/>
      <c r="S102" s="929"/>
      <c r="T102" s="929"/>
      <c r="U102" s="402"/>
      <c r="V102" s="929"/>
      <c r="W102" s="929"/>
      <c r="X102" s="929"/>
      <c r="Y102" s="929"/>
      <c r="Z102" s="929"/>
      <c r="AA102" s="1402"/>
      <c r="AB102" s="424"/>
      <c r="AC102" s="424"/>
      <c r="AD102" s="424"/>
      <c r="AE102" s="424"/>
    </row>
    <row r="103" spans="1:31" s="1727" customFormat="1" ht="11.25" customHeight="1">
      <c r="A103" s="771"/>
      <c r="B103" s="1406"/>
      <c r="C103" s="1406"/>
      <c r="D103" s="232"/>
      <c r="K103" s="929"/>
      <c r="L103" s="1406"/>
      <c r="M103" s="1406"/>
      <c r="N103" s="929"/>
      <c r="O103" s="929"/>
      <c r="P103" s="929"/>
      <c r="Q103" s="929"/>
      <c r="R103" s="1406"/>
      <c r="S103" s="929"/>
      <c r="T103" s="929"/>
      <c r="U103" s="402"/>
      <c r="V103" s="929"/>
      <c r="W103" s="929"/>
      <c r="X103" s="929"/>
      <c r="Y103" s="929"/>
      <c r="Z103" s="929"/>
      <c r="AA103" s="1402"/>
      <c r="AB103" s="424"/>
      <c r="AC103" s="424"/>
      <c r="AD103" s="424"/>
      <c r="AE103" s="424"/>
    </row>
    <row r="104" spans="1:31" s="1727" customFormat="1" ht="11.25" customHeight="1">
      <c r="A104" s="771"/>
      <c r="B104" s="1406"/>
      <c r="C104" s="1406"/>
      <c r="D104" s="232"/>
      <c r="K104" s="929"/>
      <c r="L104" s="1406"/>
      <c r="M104" s="1406"/>
      <c r="N104" s="929"/>
      <c r="O104" s="929"/>
      <c r="P104" s="929"/>
      <c r="Q104" s="929"/>
      <c r="R104" s="1406"/>
      <c r="S104" s="929"/>
      <c r="T104" s="929"/>
      <c r="U104" s="402"/>
      <c r="V104" s="929"/>
      <c r="W104" s="929"/>
      <c r="X104" s="929"/>
      <c r="Y104" s="929"/>
      <c r="Z104" s="929"/>
      <c r="AA104" s="1402"/>
      <c r="AB104" s="424"/>
      <c r="AC104" s="424"/>
      <c r="AD104" s="424"/>
      <c r="AE104" s="424"/>
    </row>
    <row r="105" spans="1:31" s="1727" customFormat="1" ht="11.25" customHeight="1">
      <c r="A105" s="771"/>
      <c r="B105" s="1406"/>
      <c r="C105" s="1406"/>
      <c r="D105" s="232"/>
      <c r="K105" s="929"/>
      <c r="L105" s="1406"/>
      <c r="M105" s="1406"/>
      <c r="N105" s="929"/>
      <c r="O105" s="929"/>
      <c r="P105" s="929"/>
      <c r="Q105" s="929"/>
      <c r="R105" s="1406"/>
      <c r="S105" s="929"/>
      <c r="T105" s="929"/>
      <c r="U105" s="402"/>
      <c r="V105" s="929"/>
      <c r="W105" s="929"/>
      <c r="X105" s="929"/>
      <c r="Y105" s="929"/>
      <c r="Z105" s="929"/>
      <c r="AA105" s="1402"/>
      <c r="AB105" s="424"/>
      <c r="AC105" s="424"/>
      <c r="AD105" s="424"/>
      <c r="AE105" s="424"/>
    </row>
    <row r="106" spans="1:31" s="1727" customFormat="1" ht="11.25" customHeight="1">
      <c r="A106" s="771"/>
      <c r="B106" s="1406"/>
      <c r="C106" s="1406"/>
      <c r="D106" s="232"/>
      <c r="K106" s="929"/>
      <c r="L106" s="1406"/>
      <c r="M106" s="1406"/>
      <c r="N106" s="929"/>
      <c r="O106" s="929"/>
      <c r="P106" s="929"/>
      <c r="Q106" s="929"/>
      <c r="R106" s="1406"/>
      <c r="S106" s="929"/>
      <c r="T106" s="929"/>
      <c r="U106" s="402"/>
      <c r="V106" s="929"/>
      <c r="W106" s="929"/>
      <c r="X106" s="929"/>
      <c r="Y106" s="929"/>
      <c r="Z106" s="929"/>
      <c r="AA106" s="1402"/>
      <c r="AB106" s="424"/>
      <c r="AC106" s="424"/>
      <c r="AD106" s="424"/>
      <c r="AE106" s="424"/>
    </row>
    <row r="107" spans="1:31" s="1727" customFormat="1" ht="11.25" customHeight="1">
      <c r="A107" s="771"/>
      <c r="B107" s="1406"/>
      <c r="C107" s="1406"/>
      <c r="D107" s="232"/>
      <c r="K107" s="929"/>
      <c r="L107" s="1406"/>
      <c r="M107" s="1406"/>
      <c r="N107" s="929"/>
      <c r="O107" s="929"/>
      <c r="P107" s="929"/>
      <c r="Q107" s="929"/>
      <c r="R107" s="1406"/>
      <c r="S107" s="929"/>
      <c r="T107" s="929"/>
      <c r="U107" s="402"/>
      <c r="V107" s="929"/>
      <c r="W107" s="929"/>
      <c r="X107" s="929"/>
      <c r="Y107" s="929"/>
      <c r="Z107" s="929"/>
      <c r="AA107" s="1402"/>
      <c r="AB107" s="424"/>
      <c r="AC107" s="424"/>
      <c r="AD107" s="424"/>
      <c r="AE107" s="424"/>
    </row>
    <row r="108" spans="1:31" s="1727" customFormat="1" ht="11.25" customHeight="1">
      <c r="A108" s="771"/>
      <c r="B108" s="1406"/>
      <c r="C108" s="1406"/>
      <c r="D108" s="232"/>
      <c r="K108" s="929"/>
      <c r="L108" s="1406"/>
      <c r="M108" s="1406"/>
      <c r="N108" s="929"/>
      <c r="O108" s="929"/>
      <c r="P108" s="929"/>
      <c r="Q108" s="929"/>
      <c r="R108" s="1406"/>
      <c r="S108" s="929"/>
      <c r="T108" s="929"/>
      <c r="U108" s="402"/>
      <c r="V108" s="929"/>
      <c r="W108" s="929"/>
      <c r="X108" s="929"/>
      <c r="Y108" s="929"/>
      <c r="Z108" s="929"/>
      <c r="AA108" s="1402"/>
      <c r="AB108" s="424"/>
      <c r="AC108" s="424"/>
      <c r="AD108" s="424"/>
      <c r="AE108" s="424"/>
    </row>
    <row r="109" spans="1:31" s="1727" customFormat="1" ht="11.25" customHeight="1">
      <c r="A109" s="771"/>
      <c r="B109" s="1406"/>
      <c r="C109" s="1406"/>
      <c r="D109" s="232"/>
      <c r="K109" s="929"/>
      <c r="L109" s="1406"/>
      <c r="M109" s="1406"/>
      <c r="N109" s="929"/>
      <c r="O109" s="929"/>
      <c r="P109" s="929"/>
      <c r="Q109" s="929"/>
      <c r="R109" s="1406"/>
      <c r="S109" s="929"/>
      <c r="T109" s="929"/>
      <c r="U109" s="402"/>
      <c r="V109" s="929"/>
      <c r="W109" s="929"/>
      <c r="X109" s="929"/>
      <c r="Y109" s="929"/>
      <c r="Z109" s="929"/>
      <c r="AA109" s="1402"/>
      <c r="AB109" s="424"/>
      <c r="AC109" s="424"/>
      <c r="AD109" s="424"/>
      <c r="AE109" s="424"/>
    </row>
    <row r="110" spans="1:31" s="1727" customFormat="1" ht="11.25" customHeight="1">
      <c r="A110" s="771"/>
      <c r="B110" s="1406"/>
      <c r="C110" s="1406"/>
      <c r="D110" s="232"/>
      <c r="K110" s="929"/>
      <c r="L110" s="1406"/>
      <c r="M110" s="1406"/>
      <c r="N110" s="929"/>
      <c r="O110" s="929"/>
      <c r="P110" s="929"/>
      <c r="Q110" s="929"/>
      <c r="R110" s="1406"/>
      <c r="S110" s="929"/>
      <c r="T110" s="929"/>
      <c r="U110" s="402"/>
      <c r="V110" s="929"/>
      <c r="W110" s="929"/>
      <c r="X110" s="929"/>
      <c r="Y110" s="929"/>
      <c r="Z110" s="929"/>
      <c r="AA110" s="1402"/>
      <c r="AB110" s="424"/>
      <c r="AC110" s="424"/>
      <c r="AD110" s="424"/>
      <c r="AE110" s="424"/>
    </row>
    <row r="111" spans="1:31" s="1727" customFormat="1" ht="11.25" customHeight="1">
      <c r="A111" s="771"/>
      <c r="B111" s="1406"/>
      <c r="C111" s="1406"/>
      <c r="D111" s="232"/>
      <c r="K111" s="929"/>
      <c r="L111" s="1406"/>
      <c r="M111" s="1406"/>
      <c r="N111" s="929"/>
      <c r="O111" s="929"/>
      <c r="P111" s="929"/>
      <c r="Q111" s="929"/>
      <c r="R111" s="1406"/>
      <c r="S111" s="929"/>
      <c r="T111" s="929"/>
      <c r="U111" s="402"/>
      <c r="V111" s="929"/>
      <c r="W111" s="929"/>
      <c r="X111" s="929"/>
      <c r="Y111" s="929"/>
      <c r="Z111" s="929"/>
      <c r="AA111" s="1402"/>
      <c r="AB111" s="424"/>
      <c r="AC111" s="424"/>
      <c r="AD111" s="424"/>
      <c r="AE111" s="424"/>
    </row>
    <row r="112" spans="1:31" s="1727" customFormat="1" ht="11.25" customHeight="1">
      <c r="A112" s="771"/>
      <c r="B112" s="1406"/>
      <c r="C112" s="1406"/>
      <c r="D112" s="232"/>
      <c r="K112" s="929"/>
      <c r="L112" s="1406"/>
      <c r="M112" s="1406"/>
      <c r="N112" s="929"/>
      <c r="O112" s="929"/>
      <c r="P112" s="929"/>
      <c r="Q112" s="929"/>
      <c r="R112" s="1406"/>
      <c r="S112" s="929"/>
      <c r="T112" s="929"/>
      <c r="U112" s="402"/>
      <c r="V112" s="929"/>
      <c r="W112" s="929"/>
      <c r="X112" s="929"/>
      <c r="Y112" s="929"/>
      <c r="Z112" s="929"/>
      <c r="AA112" s="1402"/>
      <c r="AB112" s="424"/>
      <c r="AC112" s="424"/>
      <c r="AD112" s="424"/>
      <c r="AE112" s="424"/>
    </row>
    <row r="113" spans="1:31" s="1727" customFormat="1" ht="11.25" customHeight="1">
      <c r="A113" s="771"/>
      <c r="B113" s="1406"/>
      <c r="C113" s="1406"/>
      <c r="D113" s="232"/>
      <c r="K113" s="929"/>
      <c r="L113" s="1406"/>
      <c r="M113" s="1406"/>
      <c r="N113" s="929"/>
      <c r="O113" s="929"/>
      <c r="P113" s="929"/>
      <c r="Q113" s="929"/>
      <c r="R113" s="1406"/>
      <c r="S113" s="929"/>
      <c r="T113" s="929"/>
      <c r="U113" s="402"/>
      <c r="V113" s="929"/>
      <c r="W113" s="929"/>
      <c r="X113" s="929"/>
      <c r="Y113" s="929"/>
      <c r="Z113" s="929"/>
      <c r="AA113" s="1402"/>
      <c r="AB113" s="424"/>
      <c r="AC113" s="424"/>
      <c r="AD113" s="424"/>
      <c r="AE113" s="424"/>
    </row>
    <row r="114" spans="1:31" s="1727" customFormat="1" ht="11.25" customHeight="1">
      <c r="A114" s="771"/>
      <c r="B114" s="1406"/>
      <c r="C114" s="1406"/>
      <c r="D114" s="232"/>
      <c r="K114" s="929"/>
      <c r="L114" s="1406"/>
      <c r="M114" s="1406"/>
      <c r="N114" s="929"/>
      <c r="O114" s="929"/>
      <c r="P114" s="929"/>
      <c r="Q114" s="929"/>
      <c r="R114" s="1406"/>
      <c r="S114" s="929"/>
      <c r="T114" s="929"/>
      <c r="U114" s="402"/>
      <c r="V114" s="929"/>
      <c r="W114" s="929"/>
      <c r="X114" s="929"/>
      <c r="Y114" s="929"/>
      <c r="Z114" s="929"/>
      <c r="AA114" s="1402"/>
      <c r="AB114" s="424"/>
      <c r="AC114" s="424"/>
      <c r="AD114" s="424"/>
      <c r="AE114" s="424"/>
    </row>
    <row r="115" spans="1:31" s="1727" customFormat="1" ht="11.25" customHeight="1">
      <c r="A115" s="771"/>
      <c r="B115" s="1406"/>
      <c r="C115" s="1406"/>
      <c r="D115" s="232"/>
      <c r="K115" s="929"/>
      <c r="L115" s="1406"/>
      <c r="M115" s="1406"/>
      <c r="N115" s="929"/>
      <c r="O115" s="929"/>
      <c r="P115" s="929"/>
      <c r="Q115" s="929"/>
      <c r="R115" s="1406"/>
      <c r="S115" s="929"/>
      <c r="T115" s="929"/>
      <c r="U115" s="402"/>
      <c r="V115" s="929"/>
      <c r="W115" s="929"/>
      <c r="X115" s="929"/>
      <c r="Y115" s="929"/>
      <c r="Z115" s="929"/>
      <c r="AA115" s="1402"/>
      <c r="AB115" s="424"/>
      <c r="AC115" s="424"/>
      <c r="AD115" s="424"/>
      <c r="AE115" s="424"/>
    </row>
    <row r="116" spans="1:31" s="1727" customFormat="1" ht="11.25" customHeight="1">
      <c r="A116" s="771"/>
      <c r="B116" s="1406"/>
      <c r="C116" s="1406"/>
      <c r="D116" s="232"/>
      <c r="K116" s="929"/>
      <c r="L116" s="1406"/>
      <c r="M116" s="1406"/>
      <c r="N116" s="929"/>
      <c r="O116" s="929"/>
      <c r="P116" s="929"/>
      <c r="Q116" s="929"/>
      <c r="R116" s="1406"/>
      <c r="S116" s="929"/>
      <c r="T116" s="929"/>
      <c r="U116" s="402"/>
      <c r="V116" s="929"/>
      <c r="W116" s="929"/>
      <c r="X116" s="929"/>
      <c r="Y116" s="929"/>
      <c r="Z116" s="929"/>
      <c r="AA116" s="1402"/>
      <c r="AB116" s="424"/>
      <c r="AC116" s="424"/>
      <c r="AD116" s="424"/>
      <c r="AE116" s="424"/>
    </row>
    <row r="117" spans="1:31" s="1727" customFormat="1" ht="11.25" customHeight="1">
      <c r="A117" s="771"/>
      <c r="B117" s="1406"/>
      <c r="C117" s="1406"/>
      <c r="D117" s="232"/>
      <c r="K117" s="929"/>
      <c r="L117" s="1406"/>
      <c r="M117" s="1406"/>
      <c r="N117" s="929"/>
      <c r="O117" s="929"/>
      <c r="P117" s="929"/>
      <c r="Q117" s="929"/>
      <c r="R117" s="1406"/>
      <c r="S117" s="929"/>
      <c r="T117" s="929"/>
      <c r="U117" s="402"/>
      <c r="V117" s="929"/>
      <c r="W117" s="929"/>
      <c r="X117" s="929"/>
      <c r="Y117" s="929"/>
      <c r="Z117" s="929"/>
      <c r="AA117" s="1402"/>
      <c r="AB117" s="424"/>
      <c r="AC117" s="424"/>
      <c r="AD117" s="424"/>
      <c r="AE117" s="424"/>
    </row>
    <row r="118" spans="1:31" s="1727" customFormat="1" ht="11.25" customHeight="1">
      <c r="A118" s="771"/>
      <c r="B118" s="1406"/>
      <c r="C118" s="1406"/>
      <c r="D118" s="232"/>
      <c r="K118" s="929"/>
      <c r="L118" s="1406"/>
      <c r="M118" s="1406"/>
      <c r="N118" s="929"/>
      <c r="O118" s="929"/>
      <c r="P118" s="929"/>
      <c r="Q118" s="929"/>
      <c r="R118" s="1406"/>
      <c r="S118" s="929"/>
      <c r="T118" s="929"/>
      <c r="U118" s="402"/>
      <c r="V118" s="929"/>
      <c r="W118" s="929"/>
      <c r="X118" s="929"/>
      <c r="Y118" s="929"/>
      <c r="Z118" s="929"/>
      <c r="AA118" s="1402"/>
      <c r="AB118" s="424"/>
      <c r="AC118" s="424"/>
      <c r="AD118" s="424"/>
      <c r="AE118" s="424"/>
    </row>
    <row r="119" spans="1:31" s="1727" customFormat="1" ht="11.25" customHeight="1">
      <c r="A119" s="771"/>
      <c r="B119" s="1406"/>
      <c r="C119" s="1406"/>
      <c r="D119" s="232"/>
      <c r="K119" s="929"/>
      <c r="L119" s="1406"/>
      <c r="M119" s="1406"/>
      <c r="N119" s="929"/>
      <c r="O119" s="929"/>
      <c r="P119" s="929"/>
      <c r="Q119" s="929"/>
      <c r="R119" s="1406"/>
      <c r="S119" s="929"/>
      <c r="T119" s="929"/>
      <c r="U119" s="402"/>
      <c r="V119" s="929"/>
      <c r="W119" s="929"/>
      <c r="X119" s="929"/>
      <c r="Y119" s="929"/>
      <c r="Z119" s="929"/>
      <c r="AA119" s="1402"/>
      <c r="AB119" s="424"/>
      <c r="AC119" s="424"/>
      <c r="AD119" s="424"/>
      <c r="AE119" s="424"/>
    </row>
    <row r="120" spans="1:31" s="1727" customFormat="1" ht="11.25" customHeight="1">
      <c r="A120" s="771"/>
      <c r="B120" s="1406"/>
      <c r="C120" s="1406"/>
      <c r="D120" s="232"/>
      <c r="K120" s="929"/>
      <c r="L120" s="1406"/>
      <c r="M120" s="1406"/>
      <c r="N120" s="929"/>
      <c r="O120" s="929"/>
      <c r="P120" s="929"/>
      <c r="Q120" s="929"/>
      <c r="R120" s="1406"/>
      <c r="S120" s="929"/>
      <c r="T120" s="929"/>
      <c r="U120" s="402"/>
      <c r="V120" s="929"/>
      <c r="W120" s="929"/>
      <c r="X120" s="929"/>
      <c r="Y120" s="929"/>
      <c r="Z120" s="929"/>
      <c r="AA120" s="1402"/>
      <c r="AB120" s="424"/>
      <c r="AC120" s="424"/>
      <c r="AD120" s="424"/>
      <c r="AE120" s="424"/>
    </row>
    <row r="121" spans="1:31" s="1727" customFormat="1" ht="11.25" customHeight="1">
      <c r="A121" s="771"/>
      <c r="B121" s="1406"/>
      <c r="C121" s="1406"/>
      <c r="D121" s="232"/>
      <c r="K121" s="929"/>
      <c r="L121" s="1406"/>
      <c r="M121" s="1406"/>
      <c r="N121" s="929"/>
      <c r="O121" s="929"/>
      <c r="P121" s="929"/>
      <c r="Q121" s="929"/>
      <c r="R121" s="1406"/>
      <c r="S121" s="929"/>
      <c r="T121" s="929"/>
      <c r="U121" s="402"/>
      <c r="V121" s="929"/>
      <c r="W121" s="929"/>
      <c r="X121" s="929"/>
      <c r="Y121" s="929"/>
      <c r="Z121" s="929"/>
      <c r="AA121" s="1402"/>
      <c r="AB121" s="424"/>
      <c r="AC121" s="424"/>
      <c r="AD121" s="424"/>
      <c r="AE121" s="424"/>
    </row>
    <row r="122" spans="1:31" s="1727" customFormat="1" ht="11.25" customHeight="1">
      <c r="A122" s="771"/>
      <c r="B122" s="1406"/>
      <c r="C122" s="1406"/>
      <c r="D122" s="232"/>
      <c r="K122" s="929"/>
      <c r="L122" s="1406"/>
      <c r="M122" s="1406"/>
      <c r="N122" s="929"/>
      <c r="O122" s="929"/>
      <c r="P122" s="929"/>
      <c r="Q122" s="929"/>
      <c r="R122" s="1406"/>
      <c r="S122" s="929"/>
      <c r="T122" s="929"/>
      <c r="U122" s="402"/>
      <c r="V122" s="929"/>
      <c r="W122" s="929"/>
      <c r="X122" s="929"/>
      <c r="Y122" s="929"/>
      <c r="Z122" s="929"/>
      <c r="AA122" s="1402"/>
      <c r="AB122" s="424"/>
      <c r="AC122" s="424"/>
      <c r="AD122" s="424"/>
      <c r="AE122" s="424"/>
    </row>
    <row r="123" spans="1:31" s="1727" customFormat="1" ht="11.25" customHeight="1">
      <c r="A123" s="771"/>
      <c r="B123" s="1406"/>
      <c r="C123" s="1406"/>
      <c r="D123" s="232"/>
      <c r="K123" s="929"/>
      <c r="L123" s="1406"/>
      <c r="M123" s="1406"/>
      <c r="N123" s="929"/>
      <c r="O123" s="929"/>
      <c r="P123" s="929"/>
      <c r="Q123" s="929"/>
      <c r="R123" s="1406"/>
      <c r="S123" s="929"/>
      <c r="T123" s="929"/>
      <c r="U123" s="402"/>
      <c r="V123" s="929"/>
      <c r="W123" s="929"/>
      <c r="X123" s="929"/>
      <c r="Y123" s="929"/>
      <c r="Z123" s="929"/>
      <c r="AA123" s="1402"/>
      <c r="AB123" s="424"/>
      <c r="AC123" s="424"/>
      <c r="AD123" s="424"/>
      <c r="AE123" s="424"/>
    </row>
    <row r="124" spans="1:31" s="1727" customFormat="1" ht="11.25" customHeight="1">
      <c r="A124" s="771"/>
      <c r="B124" s="1406"/>
      <c r="C124" s="1406"/>
      <c r="D124" s="232"/>
      <c r="K124" s="929"/>
      <c r="L124" s="1406"/>
      <c r="M124" s="1406"/>
      <c r="N124" s="929"/>
      <c r="O124" s="929"/>
      <c r="P124" s="929"/>
      <c r="Q124" s="929"/>
      <c r="R124" s="1406"/>
      <c r="S124" s="929"/>
      <c r="T124" s="929"/>
      <c r="U124" s="402"/>
      <c r="V124" s="929"/>
      <c r="W124" s="929"/>
      <c r="X124" s="929"/>
      <c r="Y124" s="929"/>
      <c r="Z124" s="929"/>
      <c r="AA124" s="1402"/>
      <c r="AB124" s="424"/>
      <c r="AC124" s="424"/>
      <c r="AD124" s="424"/>
      <c r="AE124" s="424"/>
    </row>
    <row r="125" spans="1:31" s="1727" customFormat="1" ht="11.25" customHeight="1">
      <c r="A125" s="771"/>
      <c r="B125" s="1406"/>
      <c r="C125" s="1406"/>
      <c r="D125" s="232"/>
      <c r="K125" s="929"/>
      <c r="L125" s="1406"/>
      <c r="M125" s="1406"/>
      <c r="N125" s="929"/>
      <c r="O125" s="929"/>
      <c r="P125" s="929"/>
      <c r="Q125" s="929"/>
      <c r="R125" s="1406"/>
      <c r="S125" s="929"/>
      <c r="T125" s="929"/>
      <c r="U125" s="402"/>
      <c r="V125" s="929"/>
      <c r="W125" s="929"/>
      <c r="X125" s="929"/>
      <c r="Y125" s="929"/>
      <c r="Z125" s="929"/>
      <c r="AA125" s="1402"/>
      <c r="AB125" s="424"/>
      <c r="AC125" s="424"/>
      <c r="AD125" s="424"/>
      <c r="AE125" s="424"/>
    </row>
    <row r="126" spans="1:31" s="1727" customFormat="1" ht="11.25" customHeight="1">
      <c r="A126" s="771"/>
      <c r="B126" s="1406"/>
      <c r="C126" s="1406"/>
      <c r="D126" s="232"/>
      <c r="K126" s="929"/>
      <c r="L126" s="1406"/>
      <c r="M126" s="1406"/>
      <c r="N126" s="929"/>
      <c r="O126" s="929"/>
      <c r="P126" s="929"/>
      <c r="Q126" s="929"/>
      <c r="R126" s="1406"/>
      <c r="S126" s="929"/>
      <c r="T126" s="929"/>
      <c r="U126" s="402"/>
      <c r="V126" s="929"/>
      <c r="W126" s="929"/>
      <c r="X126" s="929"/>
      <c r="Y126" s="929"/>
      <c r="Z126" s="929"/>
      <c r="AA126" s="1402"/>
      <c r="AB126" s="424"/>
      <c r="AC126" s="424"/>
      <c r="AD126" s="424"/>
      <c r="AE126" s="424"/>
    </row>
    <row r="127" spans="1:31" s="1727" customFormat="1" ht="11.25" customHeight="1">
      <c r="A127" s="771"/>
      <c r="B127" s="1406"/>
      <c r="C127" s="1406"/>
      <c r="D127" s="232"/>
      <c r="K127" s="929"/>
      <c r="L127" s="1406"/>
      <c r="M127" s="1406"/>
      <c r="N127" s="929"/>
      <c r="O127" s="929"/>
      <c r="P127" s="929"/>
      <c r="Q127" s="929"/>
      <c r="R127" s="1406"/>
      <c r="S127" s="929"/>
      <c r="T127" s="929"/>
      <c r="U127" s="402"/>
      <c r="V127" s="929"/>
      <c r="W127" s="929"/>
      <c r="X127" s="929"/>
      <c r="Y127" s="929"/>
      <c r="Z127" s="929"/>
      <c r="AA127" s="1402"/>
      <c r="AB127" s="424"/>
      <c r="AC127" s="424"/>
      <c r="AD127" s="424"/>
      <c r="AE127" s="424"/>
    </row>
    <row r="128" spans="1:31" s="1727" customFormat="1" ht="11.25" customHeight="1">
      <c r="A128" s="771"/>
      <c r="B128" s="1406"/>
      <c r="C128" s="1406"/>
      <c r="D128" s="232"/>
      <c r="K128" s="929"/>
      <c r="L128" s="1406"/>
      <c r="M128" s="1406"/>
      <c r="N128" s="929"/>
      <c r="O128" s="929"/>
      <c r="P128" s="929"/>
      <c r="Q128" s="929"/>
      <c r="R128" s="1406"/>
      <c r="S128" s="929"/>
      <c r="T128" s="929"/>
      <c r="U128" s="402"/>
      <c r="V128" s="929"/>
      <c r="W128" s="929"/>
      <c r="X128" s="929"/>
      <c r="Y128" s="929"/>
      <c r="Z128" s="929"/>
      <c r="AA128" s="1402"/>
      <c r="AB128" s="424"/>
      <c r="AC128" s="424"/>
      <c r="AD128" s="424"/>
      <c r="AE128" s="424"/>
    </row>
    <row r="129" spans="1:31" s="1727" customFormat="1" ht="11.25" customHeight="1">
      <c r="A129" s="771"/>
      <c r="B129" s="1406"/>
      <c r="C129" s="1406"/>
      <c r="D129" s="232"/>
      <c r="K129" s="929"/>
      <c r="L129" s="1406"/>
      <c r="M129" s="1406"/>
      <c r="N129" s="929"/>
      <c r="O129" s="929"/>
      <c r="P129" s="929"/>
      <c r="Q129" s="929"/>
      <c r="R129" s="1406"/>
      <c r="S129" s="929"/>
      <c r="T129" s="929"/>
      <c r="U129" s="402"/>
      <c r="V129" s="929"/>
      <c r="W129" s="929"/>
      <c r="X129" s="929"/>
      <c r="Y129" s="929"/>
      <c r="Z129" s="929"/>
      <c r="AA129" s="1402"/>
      <c r="AB129" s="424"/>
      <c r="AC129" s="424"/>
      <c r="AD129" s="424"/>
      <c r="AE129" s="424"/>
    </row>
    <row r="130" spans="1:31" s="1727" customFormat="1" ht="11.25" customHeight="1">
      <c r="A130" s="771"/>
      <c r="B130" s="1406"/>
      <c r="C130" s="1406"/>
      <c r="D130" s="232"/>
      <c r="K130" s="929"/>
      <c r="L130" s="1406"/>
      <c r="M130" s="1406"/>
      <c r="N130" s="929"/>
      <c r="O130" s="929"/>
      <c r="P130" s="929"/>
      <c r="Q130" s="929"/>
      <c r="R130" s="1406"/>
      <c r="S130" s="929"/>
      <c r="T130" s="929"/>
      <c r="U130" s="402"/>
      <c r="V130" s="929"/>
      <c r="W130" s="929"/>
      <c r="X130" s="929"/>
      <c r="Y130" s="929"/>
      <c r="Z130" s="929"/>
      <c r="AA130" s="1402"/>
      <c r="AB130" s="424"/>
      <c r="AC130" s="424"/>
      <c r="AD130" s="424"/>
      <c r="AE130" s="424"/>
    </row>
    <row r="131" spans="1:31" s="1727" customFormat="1" ht="11.25" customHeight="1">
      <c r="A131" s="771"/>
      <c r="B131" s="1406"/>
      <c r="C131" s="1406"/>
      <c r="D131" s="232"/>
      <c r="K131" s="929"/>
      <c r="L131" s="1406"/>
      <c r="M131" s="1406"/>
      <c r="N131" s="929"/>
      <c r="O131" s="929"/>
      <c r="P131" s="929"/>
      <c r="Q131" s="929"/>
      <c r="R131" s="1406"/>
      <c r="S131" s="929"/>
      <c r="T131" s="929"/>
      <c r="U131" s="402"/>
      <c r="V131" s="929"/>
      <c r="W131" s="929"/>
      <c r="X131" s="929"/>
      <c r="Y131" s="929"/>
      <c r="Z131" s="929"/>
      <c r="AA131" s="1402"/>
      <c r="AB131" s="424"/>
      <c r="AC131" s="424"/>
      <c r="AD131" s="424"/>
      <c r="AE131" s="424"/>
    </row>
    <row r="132" spans="1:31" s="1727" customFormat="1" ht="11.25" customHeight="1">
      <c r="A132" s="771"/>
      <c r="B132" s="1406"/>
      <c r="C132" s="1406"/>
      <c r="D132" s="232"/>
      <c r="K132" s="929"/>
      <c r="L132" s="1406"/>
      <c r="M132" s="1406"/>
      <c r="N132" s="929"/>
      <c r="O132" s="929"/>
      <c r="P132" s="929"/>
      <c r="Q132" s="929"/>
      <c r="R132" s="1406"/>
      <c r="S132" s="929"/>
      <c r="T132" s="929"/>
      <c r="U132" s="402"/>
      <c r="V132" s="929"/>
      <c r="W132" s="929"/>
      <c r="X132" s="929"/>
      <c r="Y132" s="929"/>
      <c r="Z132" s="929"/>
      <c r="AA132" s="1402"/>
      <c r="AB132" s="424"/>
      <c r="AC132" s="424"/>
      <c r="AD132" s="424"/>
      <c r="AE132" s="424"/>
    </row>
    <row r="133" spans="1:31" s="1727" customFormat="1" ht="11.25" customHeight="1">
      <c r="A133" s="771"/>
      <c r="B133" s="1406"/>
      <c r="C133" s="1406"/>
      <c r="D133" s="232"/>
      <c r="K133" s="929"/>
      <c r="L133" s="1406"/>
      <c r="M133" s="1406"/>
      <c r="N133" s="929"/>
      <c r="O133" s="929"/>
      <c r="P133" s="929"/>
      <c r="Q133" s="929"/>
      <c r="R133" s="1406"/>
      <c r="S133" s="929"/>
      <c r="T133" s="929"/>
      <c r="U133" s="402"/>
      <c r="V133" s="929"/>
      <c r="W133" s="929"/>
      <c r="X133" s="929"/>
      <c r="Y133" s="929"/>
      <c r="Z133" s="929"/>
      <c r="AA133" s="1402"/>
      <c r="AB133" s="424"/>
      <c r="AC133" s="424"/>
      <c r="AD133" s="424"/>
      <c r="AE133" s="424"/>
    </row>
    <row r="134" spans="1:31" s="1727" customFormat="1" ht="11.25" customHeight="1">
      <c r="A134" s="771"/>
      <c r="B134" s="1406"/>
      <c r="C134" s="1406"/>
      <c r="D134" s="232"/>
      <c r="K134" s="929"/>
      <c r="L134" s="1406"/>
      <c r="M134" s="1406"/>
      <c r="N134" s="929"/>
      <c r="O134" s="929"/>
      <c r="P134" s="929"/>
      <c r="Q134" s="929"/>
      <c r="R134" s="1406"/>
      <c r="S134" s="929"/>
      <c r="T134" s="929"/>
      <c r="U134" s="402"/>
      <c r="V134" s="929"/>
      <c r="W134" s="929"/>
      <c r="X134" s="929"/>
      <c r="Y134" s="929"/>
      <c r="Z134" s="929"/>
      <c r="AA134" s="1402"/>
      <c r="AB134" s="424"/>
      <c r="AC134" s="424"/>
      <c r="AD134" s="424"/>
      <c r="AE134" s="424"/>
    </row>
    <row r="135" spans="1:31" s="1727" customFormat="1" ht="11.25" customHeight="1">
      <c r="A135" s="771"/>
      <c r="B135" s="1406"/>
      <c r="C135" s="1406"/>
      <c r="D135" s="232"/>
      <c r="K135" s="929"/>
      <c r="L135" s="1406"/>
      <c r="M135" s="1406"/>
      <c r="N135" s="929"/>
      <c r="O135" s="929"/>
      <c r="P135" s="929"/>
      <c r="Q135" s="929"/>
      <c r="R135" s="1406"/>
      <c r="S135" s="929"/>
      <c r="T135" s="929"/>
      <c r="U135" s="402"/>
      <c r="V135" s="929"/>
      <c r="W135" s="929"/>
      <c r="X135" s="929"/>
      <c r="Y135" s="929"/>
      <c r="Z135" s="929"/>
      <c r="AA135" s="1402"/>
      <c r="AB135" s="424"/>
      <c r="AC135" s="424"/>
      <c r="AD135" s="424"/>
      <c r="AE135" s="424"/>
    </row>
    <row r="136" spans="1:31" s="1727" customFormat="1" ht="11.25" customHeight="1">
      <c r="A136" s="771"/>
      <c r="B136" s="1406"/>
      <c r="C136" s="1406"/>
      <c r="D136" s="232"/>
      <c r="K136" s="929"/>
      <c r="L136" s="1406"/>
      <c r="M136" s="1406"/>
      <c r="N136" s="929"/>
      <c r="O136" s="929"/>
      <c r="P136" s="929"/>
      <c r="Q136" s="929"/>
      <c r="R136" s="1406"/>
      <c r="S136" s="929"/>
      <c r="T136" s="929"/>
      <c r="U136" s="402"/>
      <c r="V136" s="929"/>
      <c r="W136" s="929"/>
      <c r="X136" s="929"/>
      <c r="Y136" s="929"/>
      <c r="Z136" s="929"/>
      <c r="AA136" s="1402"/>
      <c r="AB136" s="424"/>
      <c r="AC136" s="424"/>
      <c r="AD136" s="424"/>
      <c r="AE136" s="424"/>
    </row>
    <row r="137" spans="1:31" s="1727" customFormat="1" ht="11.25" customHeight="1">
      <c r="A137" s="771"/>
      <c r="B137" s="1406"/>
      <c r="C137" s="1406"/>
      <c r="D137" s="232"/>
      <c r="K137" s="929"/>
      <c r="L137" s="1406"/>
      <c r="M137" s="1406"/>
      <c r="N137" s="929"/>
      <c r="O137" s="929"/>
      <c r="P137" s="929"/>
      <c r="Q137" s="929"/>
      <c r="R137" s="1406"/>
      <c r="S137" s="929"/>
      <c r="T137" s="929"/>
      <c r="U137" s="402"/>
      <c r="V137" s="929"/>
      <c r="W137" s="929"/>
      <c r="X137" s="929"/>
      <c r="Y137" s="929"/>
      <c r="Z137" s="929"/>
      <c r="AA137" s="1402"/>
      <c r="AB137" s="424"/>
      <c r="AC137" s="424"/>
      <c r="AD137" s="424"/>
      <c r="AE137" s="424"/>
    </row>
    <row r="138" spans="1:31" s="1727" customFormat="1" ht="11.25" customHeight="1">
      <c r="A138" s="771"/>
      <c r="B138" s="1406"/>
      <c r="C138" s="1406"/>
      <c r="D138" s="232"/>
      <c r="K138" s="929"/>
      <c r="L138" s="1406"/>
      <c r="M138" s="1406"/>
      <c r="N138" s="929"/>
      <c r="O138" s="929"/>
      <c r="P138" s="929"/>
      <c r="Q138" s="929"/>
      <c r="R138" s="1406"/>
      <c r="S138" s="929"/>
      <c r="T138" s="929"/>
      <c r="U138" s="402"/>
      <c r="V138" s="929"/>
      <c r="W138" s="929"/>
      <c r="X138" s="929"/>
      <c r="Y138" s="929"/>
      <c r="Z138" s="929"/>
      <c r="AA138" s="1402"/>
      <c r="AB138" s="424"/>
      <c r="AC138" s="424"/>
      <c r="AD138" s="424"/>
      <c r="AE138" s="424"/>
    </row>
    <row r="139" spans="1:31" s="1727" customFormat="1" ht="11.25" customHeight="1">
      <c r="A139" s="771"/>
      <c r="B139" s="1406"/>
      <c r="C139" s="1406"/>
      <c r="D139" s="232"/>
      <c r="K139" s="929"/>
      <c r="L139" s="1406"/>
      <c r="M139" s="1406"/>
      <c r="N139" s="929"/>
      <c r="O139" s="929"/>
      <c r="P139" s="929"/>
      <c r="Q139" s="929"/>
      <c r="R139" s="1406"/>
      <c r="S139" s="929"/>
      <c r="T139" s="929"/>
      <c r="U139" s="402"/>
      <c r="V139" s="929"/>
      <c r="W139" s="929"/>
      <c r="X139" s="929"/>
      <c r="Y139" s="929"/>
      <c r="Z139" s="929"/>
      <c r="AA139" s="1402"/>
      <c r="AB139" s="424"/>
      <c r="AC139" s="424"/>
      <c r="AD139" s="424"/>
      <c r="AE139" s="424"/>
    </row>
    <row r="140" spans="1:31" s="1727" customFormat="1" ht="11.25" customHeight="1">
      <c r="A140" s="771"/>
      <c r="B140" s="1406"/>
      <c r="C140" s="1406"/>
      <c r="D140" s="232"/>
      <c r="K140" s="929"/>
      <c r="L140" s="1406"/>
      <c r="M140" s="1406"/>
      <c r="N140" s="929"/>
      <c r="O140" s="929"/>
      <c r="P140" s="929"/>
      <c r="Q140" s="929"/>
      <c r="R140" s="1406"/>
      <c r="S140" s="929"/>
      <c r="T140" s="929"/>
      <c r="U140" s="402"/>
      <c r="V140" s="929"/>
      <c r="W140" s="929"/>
      <c r="X140" s="929"/>
      <c r="Y140" s="929"/>
      <c r="Z140" s="929"/>
      <c r="AA140" s="1402"/>
      <c r="AB140" s="424"/>
      <c r="AC140" s="424"/>
      <c r="AD140" s="424"/>
      <c r="AE140" s="424"/>
    </row>
    <row r="141" spans="1:31" s="1727" customFormat="1" ht="11.25" customHeight="1">
      <c r="A141" s="771"/>
      <c r="B141" s="1406"/>
      <c r="C141" s="1406"/>
      <c r="D141" s="232"/>
      <c r="K141" s="929"/>
      <c r="L141" s="1406"/>
      <c r="M141" s="1406"/>
      <c r="N141" s="929"/>
      <c r="O141" s="929"/>
      <c r="P141" s="929"/>
      <c r="Q141" s="929"/>
      <c r="R141" s="1406"/>
      <c r="S141" s="929"/>
      <c r="T141" s="929"/>
      <c r="U141" s="402"/>
      <c r="V141" s="929"/>
      <c r="W141" s="929"/>
      <c r="X141" s="929"/>
      <c r="Y141" s="929"/>
      <c r="Z141" s="929"/>
      <c r="AA141" s="1402"/>
      <c r="AB141" s="424"/>
      <c r="AC141" s="424"/>
      <c r="AD141" s="424"/>
      <c r="AE141" s="424"/>
    </row>
    <row r="142" spans="1:31" s="1727" customFormat="1" ht="11.25" customHeight="1">
      <c r="A142" s="771"/>
      <c r="B142" s="1406"/>
      <c r="C142" s="1406"/>
      <c r="D142" s="232"/>
      <c r="K142" s="929"/>
      <c r="L142" s="1406"/>
      <c r="M142" s="1406"/>
      <c r="N142" s="929"/>
      <c r="O142" s="929"/>
      <c r="P142" s="929"/>
      <c r="Q142" s="929"/>
      <c r="R142" s="1406"/>
      <c r="S142" s="929"/>
      <c r="T142" s="929"/>
      <c r="U142" s="402"/>
      <c r="V142" s="929"/>
      <c r="W142" s="929"/>
      <c r="X142" s="929"/>
      <c r="Y142" s="929"/>
      <c r="Z142" s="929"/>
      <c r="AA142" s="1402"/>
      <c r="AB142" s="424"/>
      <c r="AC142" s="424"/>
      <c r="AD142" s="424"/>
      <c r="AE142" s="424"/>
    </row>
    <row r="143" spans="1:31" s="1727" customFormat="1" ht="11.25" customHeight="1">
      <c r="A143" s="771"/>
      <c r="B143" s="1406"/>
      <c r="C143" s="1406"/>
      <c r="D143" s="232"/>
      <c r="K143" s="929"/>
      <c r="L143" s="1406"/>
      <c r="M143" s="1406"/>
      <c r="N143" s="929"/>
      <c r="O143" s="929"/>
      <c r="P143" s="929"/>
      <c r="Q143" s="929"/>
      <c r="R143" s="1406"/>
      <c r="S143" s="929"/>
      <c r="T143" s="929"/>
      <c r="U143" s="402"/>
      <c r="V143" s="929"/>
      <c r="W143" s="929"/>
      <c r="X143" s="929"/>
      <c r="Y143" s="929"/>
      <c r="Z143" s="929"/>
      <c r="AA143" s="1402"/>
      <c r="AB143" s="424"/>
      <c r="AC143" s="424"/>
      <c r="AD143" s="424"/>
      <c r="AE143" s="424"/>
    </row>
    <row r="144" spans="1:31" s="1727" customFormat="1" ht="11.25" customHeight="1">
      <c r="A144" s="771"/>
      <c r="B144" s="1406"/>
      <c r="C144" s="1406"/>
      <c r="D144" s="232"/>
      <c r="K144" s="929"/>
      <c r="L144" s="1406"/>
      <c r="M144" s="1406"/>
      <c r="N144" s="929"/>
      <c r="O144" s="929"/>
      <c r="P144" s="929"/>
      <c r="Q144" s="929"/>
      <c r="R144" s="1406"/>
      <c r="S144" s="929"/>
      <c r="T144" s="929"/>
      <c r="U144" s="402"/>
      <c r="V144" s="929"/>
      <c r="W144" s="929"/>
      <c r="X144" s="929"/>
      <c r="Y144" s="929"/>
      <c r="Z144" s="929"/>
      <c r="AA144" s="1402"/>
      <c r="AB144" s="424"/>
      <c r="AC144" s="424"/>
      <c r="AD144" s="424"/>
      <c r="AE144" s="424"/>
    </row>
    <row r="145" spans="1:31" s="1727" customFormat="1" ht="11.25" customHeight="1">
      <c r="A145" s="771"/>
      <c r="B145" s="1406"/>
      <c r="C145" s="1406"/>
      <c r="D145" s="232"/>
      <c r="K145" s="929"/>
      <c r="L145" s="1406"/>
      <c r="M145" s="1406"/>
      <c r="N145" s="929"/>
      <c r="O145" s="929"/>
      <c r="P145" s="929"/>
      <c r="Q145" s="929"/>
      <c r="R145" s="1406"/>
      <c r="S145" s="929"/>
      <c r="T145" s="929"/>
      <c r="U145" s="402"/>
      <c r="V145" s="929"/>
      <c r="W145" s="929"/>
      <c r="X145" s="929"/>
      <c r="Y145" s="929"/>
      <c r="Z145" s="929"/>
      <c r="AA145" s="1402"/>
      <c r="AB145" s="424"/>
      <c r="AC145" s="424"/>
      <c r="AD145" s="424"/>
      <c r="AE145" s="424"/>
    </row>
    <row r="146" spans="1:31" s="1727" customFormat="1" ht="11.25" customHeight="1">
      <c r="A146" s="771"/>
      <c r="B146" s="1406"/>
      <c r="C146" s="1406"/>
      <c r="D146" s="232"/>
      <c r="K146" s="929"/>
      <c r="L146" s="1406"/>
      <c r="M146" s="1406"/>
      <c r="N146" s="929"/>
      <c r="O146" s="929"/>
      <c r="P146" s="929"/>
      <c r="Q146" s="929"/>
      <c r="R146" s="1406"/>
      <c r="S146" s="929"/>
      <c r="T146" s="929"/>
      <c r="U146" s="402"/>
      <c r="V146" s="929"/>
      <c r="W146" s="929"/>
      <c r="X146" s="929"/>
      <c r="Y146" s="929"/>
      <c r="Z146" s="929"/>
      <c r="AA146" s="1402"/>
      <c r="AB146" s="424"/>
      <c r="AC146" s="424"/>
      <c r="AD146" s="424"/>
      <c r="AE146" s="424"/>
    </row>
    <row r="147" spans="1:31" s="1727" customFormat="1" ht="11.25" customHeight="1">
      <c r="A147" s="771"/>
      <c r="B147" s="1406"/>
      <c r="C147" s="1406"/>
      <c r="D147" s="232"/>
      <c r="K147" s="929"/>
      <c r="L147" s="1406"/>
      <c r="M147" s="1406"/>
      <c r="N147" s="929"/>
      <c r="O147" s="929"/>
      <c r="P147" s="929"/>
      <c r="Q147" s="929"/>
      <c r="R147" s="1406"/>
      <c r="S147" s="929"/>
      <c r="T147" s="929"/>
      <c r="U147" s="402"/>
      <c r="V147" s="929"/>
      <c r="W147" s="929"/>
      <c r="X147" s="929"/>
      <c r="Y147" s="929"/>
      <c r="Z147" s="929"/>
      <c r="AA147" s="1402"/>
      <c r="AB147" s="424"/>
      <c r="AC147" s="424"/>
      <c r="AD147" s="424"/>
      <c r="AE147" s="424"/>
    </row>
    <row r="148" spans="1:31" s="1727" customFormat="1" ht="11.25" customHeight="1">
      <c r="A148" s="771"/>
      <c r="B148" s="1406"/>
      <c r="C148" s="1406"/>
      <c r="D148" s="232"/>
      <c r="K148" s="929"/>
      <c r="L148" s="1406"/>
      <c r="M148" s="1406"/>
      <c r="N148" s="929"/>
      <c r="O148" s="929"/>
      <c r="P148" s="929"/>
      <c r="Q148" s="929"/>
      <c r="R148" s="1406"/>
      <c r="S148" s="929"/>
      <c r="T148" s="929"/>
      <c r="U148" s="402"/>
      <c r="V148" s="929"/>
      <c r="W148" s="929"/>
      <c r="X148" s="929"/>
      <c r="Y148" s="929"/>
      <c r="Z148" s="929"/>
      <c r="AA148" s="1402"/>
      <c r="AB148" s="424"/>
      <c r="AC148" s="424"/>
      <c r="AD148" s="424"/>
      <c r="AE148" s="424"/>
    </row>
    <row r="149" spans="1:31" s="1727" customFormat="1" ht="11.25" customHeight="1">
      <c r="A149" s="771"/>
      <c r="B149" s="1406"/>
      <c r="C149" s="1406"/>
      <c r="D149" s="232"/>
      <c r="K149" s="929"/>
      <c r="L149" s="1406"/>
      <c r="M149" s="1406"/>
      <c r="N149" s="929"/>
      <c r="O149" s="929"/>
      <c r="P149" s="929"/>
      <c r="Q149" s="929"/>
      <c r="R149" s="1406"/>
      <c r="S149" s="929"/>
      <c r="T149" s="929"/>
      <c r="U149" s="402"/>
      <c r="V149" s="929"/>
      <c r="W149" s="929"/>
      <c r="X149" s="929"/>
      <c r="Y149" s="929"/>
      <c r="Z149" s="929"/>
      <c r="AA149" s="1402"/>
      <c r="AB149" s="424"/>
      <c r="AC149" s="424"/>
      <c r="AD149" s="424"/>
      <c r="AE149" s="424"/>
    </row>
    <row r="150" spans="1:31" s="1727" customFormat="1" ht="11.25" customHeight="1">
      <c r="A150" s="771"/>
      <c r="B150" s="1406"/>
      <c r="C150" s="1406"/>
      <c r="D150" s="232"/>
      <c r="K150" s="929"/>
      <c r="L150" s="1406"/>
      <c r="M150" s="1406"/>
      <c r="N150" s="929"/>
      <c r="O150" s="929"/>
      <c r="P150" s="929"/>
      <c r="Q150" s="929"/>
      <c r="R150" s="1406"/>
      <c r="S150" s="929"/>
      <c r="T150" s="929"/>
      <c r="U150" s="402"/>
      <c r="V150" s="929"/>
      <c r="W150" s="929"/>
      <c r="X150" s="929"/>
      <c r="Y150" s="929"/>
      <c r="Z150" s="929"/>
      <c r="AA150" s="1402"/>
      <c r="AB150" s="424"/>
      <c r="AC150" s="424"/>
      <c r="AD150" s="424"/>
      <c r="AE150" s="424"/>
    </row>
    <row r="151" spans="1:31" s="1727" customFormat="1" ht="11.25" customHeight="1">
      <c r="A151" s="771"/>
      <c r="B151" s="1406"/>
      <c r="C151" s="1406"/>
      <c r="D151" s="232"/>
      <c r="K151" s="929"/>
      <c r="L151" s="1406"/>
      <c r="M151" s="1406"/>
      <c r="N151" s="929"/>
      <c r="O151" s="929"/>
      <c r="P151" s="929"/>
      <c r="Q151" s="929"/>
      <c r="R151" s="1406"/>
      <c r="S151" s="929"/>
      <c r="T151" s="929"/>
      <c r="U151" s="402"/>
      <c r="V151" s="929"/>
      <c r="W151" s="929"/>
      <c r="X151" s="929"/>
      <c r="Y151" s="929"/>
      <c r="Z151" s="929"/>
      <c r="AA151" s="1402"/>
      <c r="AB151" s="424"/>
      <c r="AC151" s="424"/>
      <c r="AD151" s="424"/>
      <c r="AE151" s="424"/>
    </row>
    <row r="152" spans="1:31" s="1727" customFormat="1" ht="11.25" customHeight="1">
      <c r="A152" s="771"/>
      <c r="B152" s="1406"/>
      <c r="C152" s="1406"/>
      <c r="D152" s="232"/>
      <c r="K152" s="929"/>
      <c r="L152" s="1406"/>
      <c r="M152" s="1406"/>
      <c r="N152" s="929"/>
      <c r="O152" s="929"/>
      <c r="P152" s="929"/>
      <c r="Q152" s="929"/>
      <c r="R152" s="1406"/>
      <c r="S152" s="929"/>
      <c r="T152" s="929"/>
      <c r="U152" s="402"/>
      <c r="V152" s="929"/>
      <c r="W152" s="929"/>
      <c r="X152" s="929"/>
      <c r="Y152" s="929"/>
      <c r="Z152" s="929"/>
      <c r="AA152" s="1402"/>
      <c r="AB152" s="424"/>
      <c r="AC152" s="424"/>
      <c r="AD152" s="424"/>
      <c r="AE152" s="424"/>
    </row>
    <row r="153" spans="1:31" s="1727" customFormat="1" ht="11.25" customHeight="1">
      <c r="A153" s="771"/>
      <c r="B153" s="1406"/>
      <c r="C153" s="1406"/>
      <c r="D153" s="232"/>
      <c r="K153" s="929"/>
      <c r="L153" s="1406"/>
      <c r="M153" s="1406"/>
      <c r="N153" s="929"/>
      <c r="O153" s="929"/>
      <c r="P153" s="929"/>
      <c r="Q153" s="929"/>
      <c r="R153" s="1406"/>
      <c r="S153" s="929"/>
      <c r="T153" s="929"/>
      <c r="U153" s="402"/>
      <c r="V153" s="929"/>
      <c r="W153" s="929"/>
      <c r="X153" s="929"/>
      <c r="Y153" s="929"/>
      <c r="Z153" s="929"/>
      <c r="AA153" s="1402"/>
      <c r="AB153" s="424"/>
      <c r="AC153" s="424"/>
      <c r="AD153" s="424"/>
      <c r="AE153" s="424"/>
    </row>
    <row r="154" spans="1:31" s="1727" customFormat="1" ht="11.25" customHeight="1">
      <c r="A154" s="771"/>
      <c r="B154" s="1406"/>
      <c r="C154" s="1406"/>
      <c r="D154" s="232"/>
      <c r="K154" s="929"/>
      <c r="L154" s="1406"/>
      <c r="M154" s="1406"/>
      <c r="N154" s="929"/>
      <c r="O154" s="929"/>
      <c r="P154" s="929"/>
      <c r="Q154" s="929"/>
      <c r="R154" s="1406"/>
      <c r="S154" s="929"/>
      <c r="T154" s="929"/>
      <c r="U154" s="402"/>
      <c r="V154" s="929"/>
      <c r="W154" s="929"/>
      <c r="X154" s="929"/>
      <c r="Y154" s="929"/>
      <c r="Z154" s="929"/>
      <c r="AA154" s="1402"/>
      <c r="AB154" s="424"/>
      <c r="AC154" s="424"/>
      <c r="AD154" s="424"/>
      <c r="AE154" s="424"/>
    </row>
    <row r="155" spans="1:31" s="1727" customFormat="1" ht="11.25" customHeight="1">
      <c r="A155" s="771"/>
      <c r="B155" s="1406"/>
      <c r="C155" s="1406"/>
      <c r="D155" s="232"/>
      <c r="K155" s="929"/>
      <c r="L155" s="1406"/>
      <c r="M155" s="1406"/>
      <c r="N155" s="929"/>
      <c r="O155" s="929"/>
      <c r="P155" s="929"/>
      <c r="Q155" s="929"/>
      <c r="R155" s="1406"/>
      <c r="S155" s="929"/>
      <c r="T155" s="929"/>
      <c r="U155" s="402"/>
      <c r="V155" s="929"/>
      <c r="W155" s="929"/>
      <c r="X155" s="929"/>
      <c r="Y155" s="929"/>
      <c r="Z155" s="929"/>
      <c r="AA155" s="1402"/>
      <c r="AB155" s="424"/>
      <c r="AC155" s="424"/>
      <c r="AD155" s="424"/>
      <c r="AE155" s="424"/>
    </row>
    <row r="156" spans="1:31" s="1727" customFormat="1" ht="11.25" customHeight="1">
      <c r="A156" s="771"/>
      <c r="B156" s="1406"/>
      <c r="C156" s="1406"/>
      <c r="D156" s="232"/>
      <c r="K156" s="929"/>
      <c r="L156" s="1406"/>
      <c r="M156" s="1406"/>
      <c r="N156" s="929"/>
      <c r="O156" s="929"/>
      <c r="P156" s="929"/>
      <c r="Q156" s="929"/>
      <c r="R156" s="1406"/>
      <c r="S156" s="929"/>
      <c r="T156" s="929"/>
      <c r="U156" s="402"/>
      <c r="V156" s="929"/>
      <c r="W156" s="929"/>
      <c r="X156" s="929"/>
      <c r="Y156" s="929"/>
      <c r="Z156" s="929"/>
      <c r="AA156" s="1402"/>
      <c r="AB156" s="424"/>
      <c r="AC156" s="424"/>
      <c r="AD156" s="424"/>
      <c r="AE156" s="424"/>
    </row>
    <row r="157" spans="1:31" s="1727" customFormat="1" ht="11.25" customHeight="1">
      <c r="A157" s="771"/>
      <c r="B157" s="1406"/>
      <c r="C157" s="1406"/>
      <c r="D157" s="232"/>
      <c r="K157" s="929"/>
      <c r="L157" s="1406"/>
      <c r="M157" s="1406"/>
      <c r="N157" s="929"/>
      <c r="O157" s="929"/>
      <c r="P157" s="929"/>
      <c r="Q157" s="929"/>
      <c r="R157" s="1406"/>
      <c r="S157" s="929"/>
      <c r="T157" s="929"/>
      <c r="U157" s="402"/>
      <c r="V157" s="929"/>
      <c r="W157" s="929"/>
      <c r="X157" s="929"/>
      <c r="Y157" s="929"/>
      <c r="Z157" s="929"/>
      <c r="AA157" s="1402"/>
      <c r="AB157" s="424"/>
      <c r="AC157" s="424"/>
      <c r="AD157" s="424"/>
      <c r="AE157" s="424"/>
    </row>
    <row r="158" spans="1:31" s="1727" customFormat="1" ht="11.25" customHeight="1">
      <c r="A158" s="771"/>
      <c r="B158" s="1406"/>
      <c r="C158" s="1406"/>
      <c r="D158" s="232"/>
      <c r="K158" s="929"/>
      <c r="L158" s="1406"/>
      <c r="M158" s="1406"/>
      <c r="N158" s="929"/>
      <c r="O158" s="929"/>
      <c r="P158" s="929"/>
      <c r="Q158" s="929"/>
      <c r="R158" s="1406"/>
      <c r="S158" s="929"/>
      <c r="T158" s="929"/>
      <c r="U158" s="402"/>
      <c r="V158" s="929"/>
      <c r="W158" s="929"/>
      <c r="X158" s="929"/>
      <c r="Y158" s="929"/>
      <c r="Z158" s="929"/>
      <c r="AA158" s="1402"/>
      <c r="AB158" s="424"/>
      <c r="AC158" s="424"/>
      <c r="AD158" s="424"/>
      <c r="AE158" s="424"/>
    </row>
    <row r="159" spans="1:31" s="1727" customFormat="1" ht="11.25" customHeight="1">
      <c r="A159" s="771"/>
      <c r="B159" s="1406"/>
      <c r="C159" s="1406"/>
      <c r="D159" s="232"/>
      <c r="K159" s="929"/>
      <c r="L159" s="1406"/>
      <c r="M159" s="1406"/>
      <c r="N159" s="929"/>
      <c r="O159" s="929"/>
      <c r="P159" s="929"/>
      <c r="Q159" s="929"/>
      <c r="R159" s="1406"/>
      <c r="S159" s="929"/>
      <c r="T159" s="929"/>
      <c r="U159" s="402"/>
      <c r="V159" s="929"/>
      <c r="W159" s="929"/>
      <c r="X159" s="929"/>
      <c r="Y159" s="929"/>
      <c r="Z159" s="929"/>
      <c r="AA159" s="1402"/>
      <c r="AB159" s="424"/>
      <c r="AC159" s="424"/>
      <c r="AD159" s="424"/>
      <c r="AE159" s="424"/>
    </row>
    <row r="160" spans="1:31" s="1727" customFormat="1" ht="11.25" customHeight="1">
      <c r="A160" s="771"/>
      <c r="B160" s="1406"/>
      <c r="C160" s="1406"/>
      <c r="D160" s="232"/>
      <c r="K160" s="929"/>
      <c r="L160" s="1406"/>
      <c r="M160" s="1406"/>
      <c r="N160" s="929"/>
      <c r="O160" s="929"/>
      <c r="P160" s="929"/>
      <c r="Q160" s="929"/>
      <c r="R160" s="1406"/>
      <c r="S160" s="929"/>
      <c r="T160" s="929"/>
      <c r="U160" s="402"/>
      <c r="V160" s="929"/>
      <c r="W160" s="929"/>
      <c r="X160" s="929"/>
      <c r="Y160" s="929"/>
      <c r="Z160" s="929"/>
      <c r="AA160" s="1402"/>
      <c r="AB160" s="424"/>
      <c r="AC160" s="424"/>
      <c r="AD160" s="424"/>
      <c r="AE160" s="424"/>
    </row>
    <row r="161" spans="1:31" s="1727" customFormat="1" ht="11.25" customHeight="1">
      <c r="A161" s="771"/>
      <c r="B161" s="1406"/>
      <c r="C161" s="1406"/>
      <c r="D161" s="232"/>
      <c r="K161" s="929"/>
      <c r="L161" s="1406"/>
      <c r="M161" s="1406"/>
      <c r="N161" s="929"/>
      <c r="O161" s="929"/>
      <c r="P161" s="929"/>
      <c r="Q161" s="929"/>
      <c r="R161" s="1406"/>
      <c r="S161" s="929"/>
      <c r="T161" s="929"/>
      <c r="U161" s="402"/>
      <c r="V161" s="929"/>
      <c r="W161" s="929"/>
      <c r="X161" s="929"/>
      <c r="Y161" s="929"/>
      <c r="Z161" s="929"/>
      <c r="AA161" s="1402"/>
      <c r="AB161" s="424"/>
      <c r="AC161" s="424"/>
      <c r="AD161" s="424"/>
      <c r="AE161" s="424"/>
    </row>
    <row r="162" spans="1:31" s="1727" customFormat="1" ht="11.25" customHeight="1">
      <c r="A162" s="771"/>
      <c r="B162" s="1406"/>
      <c r="C162" s="1406"/>
      <c r="D162" s="232"/>
      <c r="K162" s="929"/>
      <c r="L162" s="1406"/>
      <c r="M162" s="1406"/>
      <c r="N162" s="929"/>
      <c r="O162" s="929"/>
      <c r="P162" s="929"/>
      <c r="Q162" s="929"/>
      <c r="R162" s="1406"/>
      <c r="S162" s="929"/>
      <c r="T162" s="929"/>
      <c r="U162" s="402"/>
      <c r="V162" s="929"/>
      <c r="W162" s="929"/>
      <c r="X162" s="929"/>
      <c r="Y162" s="929"/>
      <c r="Z162" s="929"/>
      <c r="AA162" s="1402"/>
      <c r="AB162" s="424"/>
      <c r="AC162" s="424"/>
      <c r="AD162" s="424"/>
      <c r="AE162" s="424"/>
    </row>
    <row r="163" spans="1:31" s="1727" customFormat="1" ht="11.25" customHeight="1">
      <c r="A163" s="771"/>
      <c r="B163" s="1406"/>
      <c r="C163" s="1406"/>
      <c r="D163" s="232"/>
      <c r="K163" s="929"/>
      <c r="L163" s="1406"/>
      <c r="M163" s="1406"/>
      <c r="N163" s="929"/>
      <c r="O163" s="929"/>
      <c r="P163" s="929"/>
      <c r="Q163" s="929"/>
      <c r="R163" s="1406"/>
      <c r="S163" s="929"/>
      <c r="T163" s="929"/>
      <c r="U163" s="402"/>
      <c r="V163" s="929"/>
      <c r="W163" s="929"/>
      <c r="X163" s="929"/>
      <c r="Y163" s="929"/>
      <c r="Z163" s="929"/>
      <c r="AA163" s="1402"/>
      <c r="AB163" s="424"/>
      <c r="AC163" s="424"/>
      <c r="AD163" s="424"/>
      <c r="AE163" s="424"/>
    </row>
    <row r="164" spans="1:31" s="1727" customFormat="1" ht="11.25" customHeight="1">
      <c r="A164" s="771"/>
      <c r="B164" s="1406"/>
      <c r="C164" s="1406"/>
      <c r="D164" s="232"/>
      <c r="K164" s="929"/>
      <c r="L164" s="1406"/>
      <c r="M164" s="1406"/>
      <c r="N164" s="929"/>
      <c r="O164" s="929"/>
      <c r="P164" s="929"/>
      <c r="Q164" s="929"/>
      <c r="R164" s="1406"/>
      <c r="S164" s="929"/>
      <c r="T164" s="929"/>
      <c r="U164" s="402"/>
      <c r="V164" s="929"/>
      <c r="W164" s="929"/>
      <c r="X164" s="929"/>
      <c r="Y164" s="929"/>
      <c r="Z164" s="929"/>
      <c r="AA164" s="1402"/>
      <c r="AB164" s="424"/>
      <c r="AC164" s="424"/>
      <c r="AD164" s="424"/>
      <c r="AE164" s="424"/>
    </row>
    <row r="165" spans="1:31" s="1727" customFormat="1" ht="11.25" customHeight="1">
      <c r="A165" s="771"/>
      <c r="B165" s="1406"/>
      <c r="C165" s="1406"/>
      <c r="D165" s="232"/>
      <c r="K165" s="929"/>
      <c r="L165" s="1406"/>
      <c r="M165" s="1406"/>
      <c r="N165" s="929"/>
      <c r="O165" s="929"/>
      <c r="P165" s="929"/>
      <c r="Q165" s="929"/>
      <c r="R165" s="1406"/>
      <c r="S165" s="929"/>
      <c r="T165" s="929"/>
      <c r="U165" s="402"/>
      <c r="V165" s="929"/>
      <c r="W165" s="929"/>
      <c r="X165" s="929"/>
      <c r="Y165" s="929"/>
      <c r="Z165" s="929"/>
      <c r="AA165" s="1402"/>
      <c r="AB165" s="424"/>
      <c r="AC165" s="424"/>
      <c r="AD165" s="424"/>
      <c r="AE165" s="424"/>
    </row>
    <row r="166" spans="1:31" s="1727" customFormat="1" ht="11.25" customHeight="1">
      <c r="A166" s="771"/>
      <c r="B166" s="1406"/>
      <c r="C166" s="1406"/>
      <c r="D166" s="232"/>
      <c r="K166" s="929"/>
      <c r="L166" s="1406"/>
      <c r="M166" s="1406"/>
      <c r="N166" s="929"/>
      <c r="O166" s="929"/>
      <c r="P166" s="929"/>
      <c r="Q166" s="929"/>
      <c r="R166" s="1406"/>
      <c r="S166" s="929"/>
      <c r="T166" s="929"/>
      <c r="U166" s="402"/>
      <c r="V166" s="929"/>
      <c r="W166" s="929"/>
      <c r="X166" s="929"/>
      <c r="Y166" s="929"/>
      <c r="Z166" s="929"/>
      <c r="AA166" s="1402"/>
      <c r="AB166" s="424"/>
      <c r="AC166" s="424"/>
      <c r="AD166" s="424"/>
      <c r="AE166" s="424"/>
    </row>
    <row r="167" spans="1:31" s="1727" customFormat="1" ht="11.25" customHeight="1">
      <c r="A167" s="771"/>
      <c r="B167" s="1406"/>
      <c r="C167" s="1406"/>
      <c r="D167" s="232"/>
      <c r="K167" s="929"/>
      <c r="L167" s="1406"/>
      <c r="M167" s="1406"/>
      <c r="N167" s="929"/>
      <c r="O167" s="929"/>
      <c r="P167" s="929"/>
      <c r="Q167" s="929"/>
      <c r="R167" s="1406"/>
      <c r="S167" s="929"/>
      <c r="T167" s="929"/>
      <c r="U167" s="402"/>
      <c r="V167" s="929"/>
      <c r="W167" s="929"/>
      <c r="X167" s="929"/>
      <c r="Y167" s="929"/>
      <c r="Z167" s="929"/>
      <c r="AA167" s="1402"/>
      <c r="AB167" s="424"/>
      <c r="AC167" s="424"/>
      <c r="AD167" s="424"/>
      <c r="AE167" s="424"/>
    </row>
    <row r="168" spans="1:31" s="1727" customFormat="1" ht="11.25" customHeight="1">
      <c r="A168" s="771"/>
      <c r="B168" s="1406"/>
      <c r="C168" s="1406"/>
      <c r="D168" s="232"/>
      <c r="K168" s="929"/>
      <c r="L168" s="1406"/>
      <c r="M168" s="1406"/>
      <c r="N168" s="929"/>
      <c r="O168" s="929"/>
      <c r="P168" s="929"/>
      <c r="Q168" s="929"/>
      <c r="R168" s="1406"/>
      <c r="S168" s="929"/>
      <c r="T168" s="929"/>
      <c r="U168" s="402"/>
      <c r="V168" s="929"/>
      <c r="W168" s="929"/>
      <c r="X168" s="929"/>
      <c r="Y168" s="929"/>
      <c r="Z168" s="929"/>
      <c r="AA168" s="1402"/>
      <c r="AB168" s="424"/>
      <c r="AC168" s="424"/>
      <c r="AD168" s="424"/>
      <c r="AE168" s="424"/>
    </row>
    <row r="169" spans="1:31" s="1727" customFormat="1" ht="11.25" customHeight="1">
      <c r="A169" s="771"/>
      <c r="B169" s="1406"/>
      <c r="C169" s="1406"/>
      <c r="D169" s="232"/>
      <c r="K169" s="929"/>
      <c r="L169" s="1406"/>
      <c r="M169" s="1406"/>
      <c r="N169" s="929"/>
      <c r="O169" s="929"/>
      <c r="P169" s="929"/>
      <c r="Q169" s="929"/>
      <c r="R169" s="1406"/>
      <c r="S169" s="929"/>
      <c r="T169" s="929"/>
      <c r="U169" s="402"/>
      <c r="V169" s="929"/>
      <c r="W169" s="929"/>
      <c r="X169" s="929"/>
      <c r="Y169" s="929"/>
      <c r="Z169" s="929"/>
      <c r="AA169" s="1402"/>
      <c r="AB169" s="424"/>
      <c r="AC169" s="424"/>
      <c r="AD169" s="424"/>
      <c r="AE169" s="424"/>
    </row>
    <row r="170" spans="1:31" s="1727" customFormat="1" ht="11.25" customHeight="1">
      <c r="A170" s="771"/>
      <c r="B170" s="1406"/>
      <c r="C170" s="1406"/>
      <c r="D170" s="232"/>
      <c r="K170" s="929"/>
      <c r="L170" s="1406"/>
      <c r="M170" s="1406"/>
      <c r="N170" s="929"/>
      <c r="O170" s="929"/>
      <c r="P170" s="929"/>
      <c r="Q170" s="929"/>
      <c r="R170" s="1406"/>
      <c r="S170" s="929"/>
      <c r="T170" s="929"/>
      <c r="U170" s="402"/>
      <c r="V170" s="929"/>
      <c r="W170" s="929"/>
      <c r="X170" s="929"/>
      <c r="Y170" s="929"/>
      <c r="Z170" s="929"/>
      <c r="AA170" s="1402"/>
      <c r="AB170" s="424"/>
      <c r="AC170" s="424"/>
      <c r="AD170" s="424"/>
      <c r="AE170" s="424"/>
    </row>
    <row r="171" spans="1:31" s="1727" customFormat="1" ht="11.25" customHeight="1">
      <c r="A171" s="771"/>
      <c r="B171" s="1406"/>
      <c r="C171" s="1406"/>
      <c r="D171" s="232"/>
      <c r="K171" s="929"/>
      <c r="L171" s="1406"/>
      <c r="M171" s="1406"/>
      <c r="N171" s="929"/>
      <c r="O171" s="929"/>
      <c r="P171" s="929"/>
      <c r="Q171" s="929"/>
      <c r="R171" s="1406"/>
      <c r="S171" s="929"/>
      <c r="T171" s="929"/>
      <c r="U171" s="402"/>
      <c r="V171" s="929"/>
      <c r="W171" s="929"/>
      <c r="X171" s="929"/>
      <c r="Y171" s="929"/>
      <c r="Z171" s="929"/>
      <c r="AA171" s="1402"/>
      <c r="AB171" s="424"/>
      <c r="AC171" s="424"/>
      <c r="AD171" s="424"/>
      <c r="AE171" s="424"/>
    </row>
    <row r="172" spans="1:31" s="1727" customFormat="1" ht="11.25" customHeight="1">
      <c r="A172" s="771"/>
      <c r="B172" s="1406"/>
      <c r="C172" s="1406"/>
      <c r="D172" s="232"/>
      <c r="K172" s="929"/>
      <c r="L172" s="1406"/>
      <c r="M172" s="1406"/>
      <c r="N172" s="929"/>
      <c r="O172" s="929"/>
      <c r="P172" s="929"/>
      <c r="Q172" s="929"/>
      <c r="R172" s="1406"/>
      <c r="S172" s="929"/>
      <c r="T172" s="929"/>
      <c r="U172" s="402"/>
      <c r="V172" s="929"/>
      <c r="W172" s="929"/>
      <c r="X172" s="929"/>
      <c r="Y172" s="929"/>
      <c r="Z172" s="929"/>
      <c r="AA172" s="1402"/>
      <c r="AB172" s="424"/>
      <c r="AC172" s="424"/>
      <c r="AD172" s="424"/>
      <c r="AE172" s="424"/>
    </row>
    <row r="173" spans="1:31" s="1727" customFormat="1" ht="11.25" customHeight="1">
      <c r="A173" s="771"/>
      <c r="B173" s="1406"/>
      <c r="C173" s="1406"/>
      <c r="D173" s="232"/>
      <c r="K173" s="929"/>
      <c r="L173" s="1406"/>
      <c r="M173" s="1406"/>
      <c r="N173" s="929"/>
      <c r="O173" s="929"/>
      <c r="P173" s="929"/>
      <c r="Q173" s="929"/>
      <c r="R173" s="1406"/>
      <c r="S173" s="929"/>
      <c r="T173" s="929"/>
      <c r="U173" s="402"/>
      <c r="V173" s="929"/>
      <c r="W173" s="929"/>
      <c r="X173" s="929"/>
      <c r="Y173" s="929"/>
      <c r="Z173" s="929"/>
      <c r="AA173" s="1402"/>
      <c r="AB173" s="424"/>
      <c r="AC173" s="424"/>
      <c r="AD173" s="424"/>
      <c r="AE173" s="424"/>
    </row>
    <row r="174" spans="1:31" s="1727" customFormat="1" ht="11.25" customHeight="1">
      <c r="A174" s="771"/>
      <c r="B174" s="1406"/>
      <c r="C174" s="1406"/>
      <c r="D174" s="232"/>
      <c r="K174" s="929"/>
      <c r="L174" s="1406"/>
      <c r="M174" s="1406"/>
      <c r="N174" s="929"/>
      <c r="O174" s="929"/>
      <c r="P174" s="929"/>
      <c r="Q174" s="929"/>
      <c r="R174" s="1406"/>
      <c r="S174" s="929"/>
      <c r="T174" s="929"/>
      <c r="U174" s="402"/>
      <c r="V174" s="929"/>
      <c r="W174" s="929"/>
      <c r="X174" s="929"/>
      <c r="Y174" s="929"/>
      <c r="Z174" s="929"/>
      <c r="AA174" s="1402"/>
      <c r="AB174" s="424"/>
      <c r="AC174" s="424"/>
      <c r="AD174" s="424"/>
      <c r="AE174" s="424"/>
    </row>
    <row r="175" spans="1:31" s="1727" customFormat="1" ht="11.25" customHeight="1">
      <c r="A175" s="771"/>
      <c r="B175" s="1406"/>
      <c r="C175" s="1406"/>
      <c r="D175" s="232"/>
      <c r="K175" s="929"/>
      <c r="L175" s="1406"/>
      <c r="M175" s="1406"/>
      <c r="N175" s="929"/>
      <c r="O175" s="929"/>
      <c r="P175" s="929"/>
      <c r="Q175" s="929"/>
      <c r="R175" s="1406"/>
      <c r="S175" s="929"/>
      <c r="T175" s="929"/>
      <c r="U175" s="402"/>
      <c r="V175" s="929"/>
      <c r="W175" s="929"/>
      <c r="X175" s="929"/>
      <c r="Y175" s="929"/>
      <c r="Z175" s="929"/>
      <c r="AA175" s="1402"/>
      <c r="AB175" s="424"/>
      <c r="AC175" s="424"/>
      <c r="AD175" s="424"/>
      <c r="AE175" s="424"/>
    </row>
    <row r="176" spans="1:31" s="1727" customFormat="1" ht="11.25" customHeight="1">
      <c r="A176" s="771"/>
      <c r="B176" s="1406"/>
      <c r="C176" s="1406"/>
      <c r="D176" s="232"/>
      <c r="K176" s="929"/>
      <c r="L176" s="1406"/>
      <c r="M176" s="1406"/>
      <c r="N176" s="929"/>
      <c r="O176" s="929"/>
      <c r="P176" s="929"/>
      <c r="Q176" s="929"/>
      <c r="R176" s="1406"/>
      <c r="S176" s="929"/>
      <c r="T176" s="929"/>
      <c r="U176" s="402"/>
      <c r="V176" s="929"/>
      <c r="W176" s="929"/>
      <c r="X176" s="929"/>
      <c r="Y176" s="929"/>
      <c r="Z176" s="929"/>
      <c r="AA176" s="1402"/>
      <c r="AB176" s="424"/>
      <c r="AC176" s="424"/>
      <c r="AD176" s="424"/>
      <c r="AE176" s="424"/>
    </row>
    <row r="177" spans="1:31" s="1727" customFormat="1" ht="11.25" customHeight="1">
      <c r="A177" s="771"/>
      <c r="B177" s="1406"/>
      <c r="C177" s="1406"/>
      <c r="D177" s="232"/>
      <c r="K177" s="929"/>
      <c r="L177" s="1406"/>
      <c r="M177" s="1406"/>
      <c r="N177" s="929"/>
      <c r="O177" s="929"/>
      <c r="P177" s="929"/>
      <c r="Q177" s="929"/>
      <c r="R177" s="1406"/>
      <c r="S177" s="929"/>
      <c r="T177" s="929"/>
      <c r="U177" s="402"/>
      <c r="V177" s="929"/>
      <c r="W177" s="929"/>
      <c r="X177" s="929"/>
      <c r="Y177" s="929"/>
      <c r="Z177" s="929"/>
      <c r="AA177" s="1402"/>
      <c r="AB177" s="424"/>
      <c r="AC177" s="424"/>
      <c r="AD177" s="424"/>
      <c r="AE177" s="424"/>
    </row>
    <row r="178" spans="1:31" s="1727" customFormat="1" ht="11.25" customHeight="1">
      <c r="A178" s="771"/>
      <c r="B178" s="1406"/>
      <c r="C178" s="1406"/>
      <c r="D178" s="232"/>
      <c r="K178" s="929"/>
      <c r="L178" s="1406"/>
      <c r="M178" s="1406"/>
      <c r="N178" s="929"/>
      <c r="O178" s="929"/>
      <c r="P178" s="929"/>
      <c r="Q178" s="929"/>
      <c r="R178" s="1406"/>
      <c r="S178" s="929"/>
      <c r="T178" s="929"/>
      <c r="U178" s="402"/>
      <c r="V178" s="929"/>
      <c r="W178" s="929"/>
      <c r="X178" s="929"/>
      <c r="Y178" s="929"/>
      <c r="Z178" s="929"/>
      <c r="AA178" s="1402"/>
      <c r="AB178" s="424"/>
      <c r="AC178" s="424"/>
      <c r="AD178" s="424"/>
      <c r="AE178" s="424"/>
    </row>
    <row r="179" spans="1:31" s="1727" customFormat="1" ht="11.25" customHeight="1">
      <c r="A179" s="771"/>
      <c r="B179" s="1406"/>
      <c r="C179" s="1406"/>
      <c r="D179" s="232"/>
      <c r="K179" s="929"/>
      <c r="L179" s="1406"/>
      <c r="M179" s="1406"/>
      <c r="N179" s="929"/>
      <c r="O179" s="929"/>
      <c r="P179" s="929"/>
      <c r="Q179" s="929"/>
      <c r="R179" s="1406"/>
      <c r="S179" s="929"/>
      <c r="T179" s="929"/>
      <c r="U179" s="402"/>
      <c r="V179" s="929"/>
      <c r="W179" s="929"/>
      <c r="X179" s="929"/>
      <c r="Y179" s="929"/>
      <c r="Z179" s="929"/>
      <c r="AA179" s="1402"/>
      <c r="AB179" s="424"/>
      <c r="AC179" s="424"/>
      <c r="AD179" s="424"/>
      <c r="AE179" s="424"/>
    </row>
    <row r="180" spans="1:31" s="1727" customFormat="1" ht="11.25" customHeight="1">
      <c r="A180" s="771"/>
      <c r="B180" s="1406"/>
      <c r="C180" s="1406"/>
      <c r="D180" s="232"/>
      <c r="K180" s="929"/>
      <c r="L180" s="1406"/>
      <c r="M180" s="1406"/>
      <c r="N180" s="929"/>
      <c r="O180" s="929"/>
      <c r="P180" s="929"/>
      <c r="Q180" s="929"/>
      <c r="R180" s="1406"/>
      <c r="S180" s="929"/>
      <c r="T180" s="929"/>
      <c r="U180" s="402"/>
      <c r="V180" s="929"/>
      <c r="W180" s="929"/>
      <c r="X180" s="929"/>
      <c r="Y180" s="929"/>
      <c r="Z180" s="929"/>
      <c r="AA180" s="1402"/>
      <c r="AB180" s="424"/>
      <c r="AC180" s="424"/>
      <c r="AD180" s="424"/>
      <c r="AE180" s="424"/>
    </row>
    <row r="181" spans="1:31" s="1727" customFormat="1" ht="11.25" customHeight="1">
      <c r="A181" s="771"/>
      <c r="B181" s="1406"/>
      <c r="C181" s="1406"/>
      <c r="D181" s="232"/>
      <c r="K181" s="929"/>
      <c r="L181" s="1406"/>
      <c r="M181" s="1406"/>
      <c r="N181" s="929"/>
      <c r="O181" s="929"/>
      <c r="P181" s="929"/>
      <c r="Q181" s="929"/>
      <c r="R181" s="1406"/>
      <c r="S181" s="929"/>
      <c r="T181" s="929"/>
      <c r="U181" s="402"/>
      <c r="V181" s="929"/>
      <c r="W181" s="929"/>
      <c r="X181" s="929"/>
      <c r="Y181" s="929"/>
      <c r="Z181" s="929"/>
      <c r="AA181" s="1402"/>
      <c r="AB181" s="424"/>
      <c r="AC181" s="424"/>
      <c r="AD181" s="424"/>
      <c r="AE181" s="424"/>
    </row>
    <row r="182" spans="1:31" s="1727" customFormat="1" ht="11.25" customHeight="1">
      <c r="A182" s="771"/>
      <c r="B182" s="1406"/>
      <c r="C182" s="1406"/>
      <c r="D182" s="232"/>
      <c r="K182" s="929"/>
      <c r="L182" s="1406"/>
      <c r="M182" s="1406"/>
      <c r="N182" s="929"/>
      <c r="O182" s="929"/>
      <c r="P182" s="929"/>
      <c r="Q182" s="929"/>
      <c r="R182" s="1406"/>
      <c r="S182" s="929"/>
      <c r="T182" s="929"/>
      <c r="U182" s="402"/>
      <c r="V182" s="929"/>
      <c r="W182" s="929"/>
      <c r="X182" s="929"/>
      <c r="Y182" s="929"/>
      <c r="Z182" s="929"/>
      <c r="AA182" s="1402"/>
      <c r="AB182" s="424"/>
      <c r="AC182" s="424"/>
      <c r="AD182" s="424"/>
      <c r="AE182" s="424"/>
    </row>
    <row r="183" spans="1:31" s="1727" customFormat="1" ht="11.25" customHeight="1">
      <c r="A183" s="771"/>
      <c r="B183" s="1406"/>
      <c r="C183" s="1406"/>
      <c r="D183" s="232"/>
      <c r="K183" s="929"/>
      <c r="L183" s="1406"/>
      <c r="M183" s="1406"/>
      <c r="N183" s="929"/>
      <c r="O183" s="929"/>
      <c r="P183" s="929"/>
      <c r="Q183" s="929"/>
      <c r="R183" s="1406"/>
      <c r="S183" s="929"/>
      <c r="T183" s="929"/>
      <c r="U183" s="402"/>
      <c r="V183" s="929"/>
      <c r="W183" s="929"/>
      <c r="X183" s="929"/>
      <c r="Y183" s="929"/>
      <c r="Z183" s="929"/>
      <c r="AA183" s="1402"/>
      <c r="AB183" s="424"/>
      <c r="AC183" s="424"/>
      <c r="AD183" s="424"/>
      <c r="AE183" s="424"/>
    </row>
    <row r="184" spans="1:31" s="1727" customFormat="1" ht="11.25" customHeight="1">
      <c r="A184" s="771"/>
      <c r="B184" s="1406"/>
      <c r="C184" s="1406"/>
      <c r="D184" s="232"/>
      <c r="K184" s="929"/>
      <c r="L184" s="1406"/>
      <c r="M184" s="1406"/>
      <c r="N184" s="929"/>
      <c r="O184" s="929"/>
      <c r="P184" s="929"/>
      <c r="Q184" s="929"/>
      <c r="R184" s="1406"/>
      <c r="S184" s="929"/>
      <c r="T184" s="929"/>
      <c r="U184" s="402"/>
      <c r="V184" s="929"/>
      <c r="W184" s="929"/>
      <c r="X184" s="929"/>
      <c r="Y184" s="929"/>
      <c r="Z184" s="929"/>
      <c r="AA184" s="1402"/>
      <c r="AB184" s="424"/>
      <c r="AC184" s="424"/>
      <c r="AD184" s="424"/>
      <c r="AE184" s="424"/>
    </row>
    <row r="185" spans="1:31" s="1727" customFormat="1" ht="11.25" customHeight="1">
      <c r="A185" s="771"/>
      <c r="B185" s="1406"/>
      <c r="C185" s="1406"/>
      <c r="D185" s="232"/>
      <c r="K185" s="929"/>
      <c r="L185" s="1406"/>
      <c r="M185" s="1406"/>
      <c r="N185" s="929"/>
      <c r="O185" s="929"/>
      <c r="P185" s="929"/>
      <c r="Q185" s="929"/>
      <c r="R185" s="1406"/>
      <c r="S185" s="929"/>
      <c r="T185" s="929"/>
      <c r="U185" s="402"/>
      <c r="V185" s="929"/>
      <c r="W185" s="929"/>
      <c r="X185" s="929"/>
      <c r="Y185" s="929"/>
      <c r="Z185" s="929"/>
      <c r="AA185" s="1402"/>
      <c r="AB185" s="424"/>
      <c r="AC185" s="424"/>
      <c r="AD185" s="424"/>
      <c r="AE185" s="424"/>
    </row>
    <row r="186" spans="1:31" s="1727" customFormat="1" ht="11.25" customHeight="1">
      <c r="A186" s="771"/>
      <c r="B186" s="1406"/>
      <c r="C186" s="1406"/>
      <c r="D186" s="232"/>
      <c r="K186" s="929"/>
      <c r="L186" s="1406"/>
      <c r="M186" s="1406"/>
      <c r="N186" s="929"/>
      <c r="O186" s="929"/>
      <c r="P186" s="929"/>
      <c r="Q186" s="929"/>
      <c r="R186" s="1406"/>
      <c r="S186" s="929"/>
      <c r="T186" s="929"/>
      <c r="U186" s="402"/>
      <c r="V186" s="929"/>
      <c r="W186" s="929"/>
      <c r="X186" s="929"/>
      <c r="Y186" s="929"/>
      <c r="Z186" s="929"/>
      <c r="AA186" s="1402"/>
      <c r="AB186" s="424"/>
      <c r="AC186" s="424"/>
      <c r="AD186" s="424"/>
      <c r="AE186" s="424"/>
    </row>
    <row r="187" spans="1:31" s="1727" customFormat="1" ht="11.25" customHeight="1">
      <c r="A187" s="771"/>
      <c r="B187" s="1406"/>
      <c r="C187" s="1406"/>
      <c r="D187" s="232"/>
      <c r="K187" s="929"/>
      <c r="L187" s="1406"/>
      <c r="M187" s="1406"/>
      <c r="N187" s="929"/>
      <c r="O187" s="929"/>
      <c r="P187" s="929"/>
      <c r="Q187" s="929"/>
      <c r="R187" s="1406"/>
      <c r="S187" s="929"/>
      <c r="T187" s="929"/>
      <c r="U187" s="402"/>
      <c r="V187" s="929"/>
      <c r="W187" s="929"/>
      <c r="X187" s="929"/>
      <c r="Y187" s="929"/>
      <c r="Z187" s="929"/>
      <c r="AA187" s="1402"/>
      <c r="AB187" s="424"/>
      <c r="AC187" s="424"/>
      <c r="AD187" s="424"/>
      <c r="AE187" s="424"/>
    </row>
    <row r="188" spans="1:31" s="1727" customFormat="1" ht="11.25" customHeight="1">
      <c r="A188" s="771"/>
      <c r="B188" s="1406"/>
      <c r="C188" s="1406"/>
      <c r="D188" s="232"/>
      <c r="K188" s="929"/>
      <c r="L188" s="1406"/>
      <c r="M188" s="1406"/>
      <c r="N188" s="929"/>
      <c r="O188" s="929"/>
      <c r="P188" s="929"/>
      <c r="Q188" s="929"/>
      <c r="R188" s="1406"/>
      <c r="S188" s="929"/>
      <c r="T188" s="929"/>
      <c r="U188" s="402"/>
      <c r="V188" s="929"/>
      <c r="W188" s="929"/>
      <c r="X188" s="929"/>
      <c r="Y188" s="929"/>
      <c r="Z188" s="929"/>
      <c r="AA188" s="1402"/>
      <c r="AB188" s="424"/>
      <c r="AC188" s="424"/>
      <c r="AD188" s="424"/>
      <c r="AE188" s="424"/>
    </row>
    <row r="189" spans="1:31" s="1727" customFormat="1" ht="11.25" customHeight="1">
      <c r="A189" s="771"/>
      <c r="B189" s="1406"/>
      <c r="C189" s="1406"/>
      <c r="D189" s="232"/>
      <c r="K189" s="929"/>
      <c r="L189" s="1406"/>
      <c r="M189" s="1406"/>
      <c r="N189" s="929"/>
      <c r="O189" s="929"/>
      <c r="P189" s="929"/>
      <c r="Q189" s="929"/>
      <c r="R189" s="1406"/>
      <c r="S189" s="929"/>
      <c r="T189" s="929"/>
      <c r="U189" s="402"/>
      <c r="V189" s="929"/>
      <c r="W189" s="929"/>
      <c r="X189" s="929"/>
      <c r="Y189" s="929"/>
      <c r="Z189" s="929"/>
      <c r="AA189" s="1402"/>
      <c r="AB189" s="424"/>
      <c r="AC189" s="424"/>
      <c r="AD189" s="424"/>
      <c r="AE189" s="424"/>
    </row>
    <row r="190" spans="1:31" s="1727" customFormat="1" ht="11.25" customHeight="1">
      <c r="A190" s="771"/>
      <c r="B190" s="1406"/>
      <c r="C190" s="1406"/>
      <c r="D190" s="232"/>
      <c r="K190" s="929"/>
      <c r="L190" s="1406"/>
      <c r="M190" s="1406"/>
      <c r="N190" s="929"/>
      <c r="O190" s="929"/>
      <c r="P190" s="929"/>
      <c r="Q190" s="929"/>
      <c r="R190" s="1406"/>
      <c r="S190" s="929"/>
      <c r="T190" s="929"/>
      <c r="U190" s="402"/>
      <c r="V190" s="929"/>
      <c r="W190" s="929"/>
      <c r="X190" s="929"/>
      <c r="Y190" s="929"/>
      <c r="Z190" s="929"/>
      <c r="AA190" s="1402"/>
      <c r="AB190" s="424"/>
      <c r="AC190" s="424"/>
      <c r="AD190" s="424"/>
      <c r="AE190" s="424"/>
    </row>
    <row r="191" spans="1:31" s="1727" customFormat="1" ht="11.25" customHeight="1">
      <c r="A191" s="771"/>
      <c r="B191" s="1406"/>
      <c r="C191" s="1406"/>
      <c r="D191" s="232"/>
      <c r="K191" s="929"/>
      <c r="L191" s="1406"/>
      <c r="M191" s="1406"/>
      <c r="N191" s="929"/>
      <c r="O191" s="929"/>
      <c r="P191" s="929"/>
      <c r="Q191" s="929"/>
      <c r="R191" s="1406"/>
      <c r="S191" s="929"/>
      <c r="T191" s="929"/>
      <c r="U191" s="402"/>
      <c r="V191" s="929"/>
      <c r="W191" s="929"/>
      <c r="X191" s="929"/>
      <c r="Y191" s="929"/>
      <c r="Z191" s="929"/>
      <c r="AA191" s="1402"/>
      <c r="AB191" s="424"/>
      <c r="AC191" s="424"/>
      <c r="AD191" s="424"/>
      <c r="AE191" s="424"/>
    </row>
    <row r="192" spans="1:31" s="1727" customFormat="1" ht="11.25" customHeight="1">
      <c r="A192" s="771"/>
      <c r="B192" s="1406"/>
      <c r="C192" s="1406"/>
      <c r="D192" s="232"/>
      <c r="K192" s="929"/>
      <c r="L192" s="1406"/>
      <c r="M192" s="1406"/>
      <c r="N192" s="929"/>
      <c r="O192" s="929"/>
      <c r="P192" s="929"/>
      <c r="Q192" s="929"/>
      <c r="R192" s="1406"/>
      <c r="S192" s="929"/>
      <c r="T192" s="929"/>
      <c r="U192" s="402"/>
      <c r="V192" s="929"/>
      <c r="W192" s="929"/>
      <c r="X192" s="929"/>
      <c r="Y192" s="929"/>
      <c r="Z192" s="929"/>
      <c r="AA192" s="1402"/>
      <c r="AB192" s="424"/>
      <c r="AC192" s="424"/>
      <c r="AD192" s="424"/>
      <c r="AE192" s="424"/>
    </row>
    <row r="193" spans="1:31" s="1727" customFormat="1" ht="11.25" customHeight="1">
      <c r="A193" s="771"/>
      <c r="B193" s="1406"/>
      <c r="C193" s="1406"/>
      <c r="D193" s="232"/>
      <c r="K193" s="929"/>
      <c r="L193" s="1406"/>
      <c r="M193" s="1406"/>
      <c r="N193" s="929"/>
      <c r="O193" s="929"/>
      <c r="P193" s="929"/>
      <c r="Q193" s="929"/>
      <c r="R193" s="1406"/>
      <c r="S193" s="929"/>
      <c r="T193" s="929"/>
      <c r="U193" s="402"/>
      <c r="V193" s="929"/>
      <c r="W193" s="929"/>
      <c r="X193" s="929"/>
      <c r="Y193" s="929"/>
      <c r="Z193" s="929"/>
      <c r="AA193" s="1402"/>
      <c r="AB193" s="424"/>
      <c r="AC193" s="424"/>
      <c r="AD193" s="424"/>
      <c r="AE193" s="424"/>
    </row>
    <row r="194" spans="1:31" s="1727" customFormat="1" ht="11.25" customHeight="1">
      <c r="A194" s="771"/>
      <c r="B194" s="1406"/>
      <c r="C194" s="1406"/>
      <c r="D194" s="232"/>
      <c r="K194" s="929"/>
      <c r="L194" s="1406"/>
      <c r="M194" s="1406"/>
      <c r="N194" s="929"/>
      <c r="O194" s="929"/>
      <c r="P194" s="929"/>
      <c r="Q194" s="929"/>
      <c r="R194" s="1406"/>
      <c r="S194" s="929"/>
      <c r="T194" s="929"/>
      <c r="U194" s="402"/>
      <c r="V194" s="929"/>
      <c r="W194" s="929"/>
      <c r="X194" s="929"/>
      <c r="Y194" s="929"/>
      <c r="Z194" s="929"/>
      <c r="AA194" s="1402"/>
      <c r="AB194" s="424"/>
      <c r="AC194" s="424"/>
      <c r="AD194" s="424"/>
      <c r="AE194" s="424"/>
    </row>
    <row r="195" spans="1:31" s="1727" customFormat="1" ht="11.25" customHeight="1">
      <c r="A195" s="771"/>
      <c r="B195" s="1406"/>
      <c r="C195" s="1406"/>
      <c r="D195" s="232"/>
      <c r="K195" s="929"/>
      <c r="L195" s="1406"/>
      <c r="M195" s="1406"/>
      <c r="N195" s="929"/>
      <c r="O195" s="929"/>
      <c r="P195" s="929"/>
      <c r="Q195" s="929"/>
      <c r="R195" s="1406"/>
      <c r="S195" s="929"/>
      <c r="T195" s="929"/>
      <c r="U195" s="402"/>
      <c r="V195" s="929"/>
      <c r="W195" s="929"/>
      <c r="X195" s="929"/>
      <c r="Y195" s="929"/>
      <c r="Z195" s="929"/>
      <c r="AA195" s="1402"/>
      <c r="AB195" s="424"/>
      <c r="AC195" s="424"/>
      <c r="AD195" s="424"/>
      <c r="AE195" s="424"/>
    </row>
    <row r="199" spans="1:31" ht="11.25" customHeight="1">
      <c r="A199" s="774"/>
      <c r="B199" s="1401"/>
      <c r="D199" s="1401"/>
      <c r="K199" s="1401"/>
      <c r="N199" s="1401"/>
      <c r="O199" s="1401"/>
      <c r="P199" s="1401"/>
      <c r="Q199" s="1401"/>
      <c r="S199" s="1401"/>
      <c r="T199" s="1401"/>
      <c r="U199" s="1401"/>
      <c r="V199" s="1401"/>
      <c r="W199" s="1401"/>
      <c r="X199" s="1401"/>
      <c r="Y199" s="1401"/>
      <c r="Z199" s="1401"/>
      <c r="AA199" s="1401"/>
      <c r="AB199" s="1401"/>
      <c r="AC199" s="1401"/>
      <c r="AD199" s="1401"/>
      <c r="AE199" s="1401"/>
    </row>
    <row r="200" spans="1:31" ht="11.25" customHeight="1">
      <c r="A200" s="774"/>
      <c r="B200" s="1401"/>
      <c r="D200" s="1401"/>
      <c r="K200" s="1401"/>
      <c r="N200" s="1401"/>
      <c r="O200" s="1401"/>
      <c r="P200" s="1401"/>
      <c r="Q200" s="1401"/>
      <c r="S200" s="1401"/>
      <c r="T200" s="1401"/>
      <c r="U200" s="1401"/>
      <c r="V200" s="1401"/>
      <c r="W200" s="1401"/>
      <c r="X200" s="1401"/>
      <c r="Y200" s="1401"/>
      <c r="Z200" s="1401"/>
      <c r="AA200" s="1401"/>
      <c r="AB200" s="1401"/>
      <c r="AC200" s="1401"/>
      <c r="AD200" s="1401"/>
      <c r="AE200" s="1401"/>
    </row>
    <row r="201" spans="1:31" ht="11.25" customHeight="1">
      <c r="A201" s="774"/>
      <c r="B201" s="1401"/>
      <c r="D201" s="1401"/>
      <c r="K201" s="1401"/>
      <c r="N201" s="1401"/>
      <c r="O201" s="1401"/>
      <c r="P201" s="1401"/>
      <c r="Q201" s="1401"/>
      <c r="S201" s="1401"/>
      <c r="T201" s="1401"/>
      <c r="U201" s="1401"/>
      <c r="V201" s="1401"/>
      <c r="W201" s="1401"/>
      <c r="X201" s="1401"/>
      <c r="Y201" s="1401"/>
      <c r="Z201" s="1401"/>
      <c r="AA201" s="1401"/>
      <c r="AB201" s="1401"/>
      <c r="AC201" s="1401"/>
      <c r="AD201" s="1401"/>
      <c r="AE201" s="1401"/>
    </row>
    <row r="202" spans="1:31" ht="11.25" customHeight="1">
      <c r="A202" s="774"/>
      <c r="B202" s="1401"/>
      <c r="D202" s="1401"/>
      <c r="K202" s="1401"/>
      <c r="N202" s="1401"/>
      <c r="O202" s="1401"/>
      <c r="P202" s="1401"/>
      <c r="Q202" s="1401"/>
      <c r="S202" s="1401"/>
      <c r="T202" s="1401"/>
      <c r="U202" s="1401"/>
      <c r="V202" s="1401"/>
      <c r="W202" s="1401"/>
      <c r="X202" s="1401"/>
      <c r="Y202" s="1401"/>
      <c r="Z202" s="1401"/>
      <c r="AA202" s="1401"/>
      <c r="AB202" s="1401"/>
      <c r="AC202" s="1401"/>
      <c r="AD202" s="1401"/>
      <c r="AE202" s="1401"/>
    </row>
    <row r="203" spans="1:31" ht="11.25" customHeight="1">
      <c r="A203" s="774"/>
      <c r="B203" s="1401"/>
      <c r="D203" s="1401"/>
      <c r="K203" s="1401"/>
      <c r="N203" s="1401"/>
      <c r="O203" s="1401"/>
      <c r="P203" s="1401"/>
      <c r="Q203" s="1401"/>
      <c r="S203" s="1401"/>
      <c r="T203" s="1401"/>
      <c r="U203" s="1401"/>
      <c r="V203" s="1401"/>
      <c r="W203" s="1401"/>
      <c r="X203" s="1401"/>
      <c r="Y203" s="1401"/>
      <c r="Z203" s="1401"/>
      <c r="AA203" s="1401"/>
      <c r="AB203" s="1401"/>
      <c r="AC203" s="1401"/>
      <c r="AD203" s="1401"/>
      <c r="AE203" s="1401"/>
    </row>
    <row r="204" spans="1:31" ht="11.25" customHeight="1">
      <c r="A204" s="774"/>
      <c r="B204" s="1401"/>
      <c r="D204" s="1401"/>
      <c r="K204" s="1401"/>
      <c r="N204" s="1401"/>
      <c r="O204" s="1401"/>
      <c r="P204" s="1401"/>
      <c r="Q204" s="1401"/>
      <c r="S204" s="1401"/>
      <c r="T204" s="1401"/>
      <c r="U204" s="1401"/>
      <c r="V204" s="1401"/>
      <c r="W204" s="1401"/>
      <c r="X204" s="1401"/>
      <c r="Y204" s="1401"/>
      <c r="Z204" s="1401"/>
      <c r="AA204" s="1401"/>
      <c r="AB204" s="1401"/>
      <c r="AC204" s="1401"/>
      <c r="AD204" s="1401"/>
      <c r="AE204" s="1401"/>
    </row>
    <row r="205" spans="1:31" ht="11.25" customHeight="1">
      <c r="A205" s="774"/>
      <c r="B205" s="1401"/>
      <c r="D205" s="1401"/>
      <c r="K205" s="1401"/>
      <c r="N205" s="1401"/>
      <c r="O205" s="1401"/>
      <c r="P205" s="1401"/>
      <c r="Q205" s="1401"/>
      <c r="S205" s="1401"/>
      <c r="T205" s="1401"/>
      <c r="U205" s="1401"/>
      <c r="V205" s="1401"/>
      <c r="W205" s="1401"/>
      <c r="X205" s="1401"/>
      <c r="Y205" s="1401"/>
      <c r="Z205" s="1401"/>
      <c r="AA205" s="1401"/>
      <c r="AB205" s="1401"/>
      <c r="AC205" s="1401"/>
      <c r="AD205" s="1401"/>
      <c r="AE205" s="1401"/>
    </row>
    <row r="206" spans="1:31" ht="11.25" customHeight="1">
      <c r="A206" s="774"/>
      <c r="B206" s="1401"/>
      <c r="D206" s="1401"/>
      <c r="K206" s="1401"/>
      <c r="N206" s="1401"/>
      <c r="O206" s="1401"/>
      <c r="P206" s="1401"/>
      <c r="Q206" s="1401"/>
      <c r="S206" s="1401"/>
      <c r="T206" s="1401"/>
      <c r="U206" s="1401"/>
      <c r="V206" s="1401"/>
      <c r="W206" s="1401"/>
      <c r="X206" s="1401"/>
      <c r="Y206" s="1401"/>
      <c r="Z206" s="1401"/>
      <c r="AA206" s="1401"/>
      <c r="AB206" s="1401"/>
      <c r="AC206" s="1401"/>
      <c r="AD206" s="1401"/>
      <c r="AE206" s="1401"/>
    </row>
    <row r="207" spans="1:31" ht="11.25" customHeight="1">
      <c r="A207" s="774"/>
      <c r="B207" s="1401"/>
      <c r="D207" s="1401"/>
      <c r="K207" s="1401"/>
      <c r="N207" s="1401"/>
      <c r="O207" s="1401"/>
      <c r="P207" s="1401"/>
      <c r="Q207" s="1401"/>
      <c r="S207" s="1401"/>
      <c r="T207" s="1401"/>
      <c r="U207" s="1401"/>
      <c r="V207" s="1401"/>
      <c r="W207" s="1401"/>
      <c r="X207" s="1401"/>
      <c r="Y207" s="1401"/>
      <c r="Z207" s="1401"/>
      <c r="AA207" s="1401"/>
      <c r="AB207" s="1401"/>
      <c r="AC207" s="1401"/>
      <c r="AD207" s="1401"/>
      <c r="AE207" s="1401"/>
    </row>
    <row r="208" spans="1:31" ht="11.25" customHeight="1">
      <c r="A208" s="774"/>
      <c r="B208" s="1401"/>
      <c r="D208" s="1401"/>
      <c r="K208" s="1401"/>
      <c r="N208" s="1401"/>
      <c r="O208" s="1401"/>
      <c r="P208" s="1401"/>
      <c r="Q208" s="1401"/>
      <c r="S208" s="1401"/>
      <c r="T208" s="1401"/>
      <c r="U208" s="1401"/>
      <c r="V208" s="1401"/>
      <c r="W208" s="1401"/>
      <c r="X208" s="1401"/>
      <c r="Y208" s="1401"/>
      <c r="Z208" s="1401"/>
      <c r="AA208" s="1401"/>
      <c r="AB208" s="1401"/>
      <c r="AC208" s="1401"/>
      <c r="AD208" s="1401"/>
      <c r="AE208" s="1401"/>
    </row>
    <row r="209" spans="1:31" ht="11.25" customHeight="1">
      <c r="A209" s="774"/>
      <c r="B209" s="1401"/>
      <c r="D209" s="1401"/>
      <c r="K209" s="1401"/>
      <c r="N209" s="1401"/>
      <c r="O209" s="1401"/>
      <c r="P209" s="1401"/>
      <c r="Q209" s="1401"/>
      <c r="S209" s="1401"/>
      <c r="T209" s="1401"/>
      <c r="U209" s="1401"/>
      <c r="V209" s="1401"/>
      <c r="W209" s="1401"/>
      <c r="X209" s="1401"/>
      <c r="Y209" s="1401"/>
      <c r="Z209" s="1401"/>
      <c r="AA209" s="1401"/>
      <c r="AB209" s="1401"/>
      <c r="AC209" s="1401"/>
      <c r="AD209" s="1401"/>
      <c r="AE209" s="140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9" tint="-0.249977111117893"/>
  </sheetPr>
  <dimension ref="A1:Y101"/>
  <sheetViews>
    <sheetView showGridLines="0" topLeftCell="C2" zoomScale="90" workbookViewId="0">
      <selection activeCell="K1" sqref="K1:L1048576"/>
    </sheetView>
  </sheetViews>
  <sheetFormatPr defaultColWidth="10.5703125" defaultRowHeight="11.25" customHeight="1"/>
  <cols>
    <col min="1" max="1" width="9.140625" style="1758" hidden="1" customWidth="1"/>
    <col min="2" max="2" width="3.5703125" style="1622" hidden="1" customWidth="1"/>
    <col min="3" max="3" width="3.7109375" style="1678" customWidth="1"/>
    <col min="4" max="4" width="7.7109375" style="1678" customWidth="1"/>
    <col min="5" max="5" width="69.85546875" style="1678" customWidth="1"/>
    <col min="6" max="6" width="11.140625" style="1678" customWidth="1"/>
    <col min="7" max="8" width="44" style="1678" hidden="1" customWidth="1"/>
    <col min="9" max="10" width="44" style="1625" customWidth="1"/>
    <col min="11" max="12" width="44" style="1708" customWidth="1"/>
    <col min="13" max="13" width="74" style="1678" customWidth="1"/>
    <col min="14" max="14" width="3.7109375" style="1678" customWidth="1"/>
    <col min="15" max="25" width="10.5703125" style="1678"/>
  </cols>
  <sheetData>
    <row r="1" spans="1:14" s="1626" customFormat="1" ht="11.25" hidden="1" customHeight="1">
      <c r="A1" s="394"/>
      <c r="B1" s="379"/>
      <c r="G1" s="297">
        <v>4</v>
      </c>
      <c r="I1" s="297">
        <v>4</v>
      </c>
      <c r="K1" s="1715">
        <v>4</v>
      </c>
      <c r="L1" s="1715"/>
      <c r="M1" s="297">
        <v>5</v>
      </c>
    </row>
    <row r="2" spans="1:14" ht="3" customHeight="1"/>
    <row r="3" spans="1:14" ht="75" customHeight="1">
      <c r="D3" s="20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5"/>
      <c r="F3" s="2096"/>
    </row>
    <row r="4" spans="1:14" s="1625" customFormat="1" ht="20.25" customHeight="1">
      <c r="A4" s="736"/>
      <c r="B4" s="379"/>
      <c r="D4" s="2082" t="e">
        <f>IF(org=0,"Не определено",org)</f>
        <v>#REF!</v>
      </c>
      <c r="E4" s="2083"/>
      <c r="F4" s="2084"/>
      <c r="K4" s="1708"/>
      <c r="L4" s="1708"/>
    </row>
    <row r="5" spans="1:14" ht="11.25" customHeight="1">
      <c r="C5" s="377"/>
      <c r="D5" s="443"/>
      <c r="E5" s="443"/>
      <c r="F5" s="443"/>
      <c r="G5" s="443"/>
      <c r="H5" s="577"/>
      <c r="I5" s="443"/>
      <c r="J5" s="577"/>
      <c r="L5" s="1759"/>
      <c r="M5" s="443"/>
    </row>
    <row r="6" spans="1:14" ht="0.75" customHeight="1">
      <c r="C6" s="377"/>
      <c r="D6" s="377"/>
      <c r="E6" s="390"/>
      <c r="F6" s="455"/>
      <c r="G6" s="805"/>
      <c r="H6" s="805"/>
      <c r="I6" s="805" t="s">
        <v>51</v>
      </c>
      <c r="J6" s="805"/>
      <c r="K6" s="1760" t="s">
        <v>57</v>
      </c>
      <c r="L6" s="1760"/>
    </row>
    <row r="7" spans="1:14" ht="11.25" customHeight="1">
      <c r="D7" s="538"/>
      <c r="E7" s="2189" t="s">
        <v>39</v>
      </c>
      <c r="F7" s="2190"/>
      <c r="G7" s="2208" t="str">
        <f>IF(G6="","",INDEX(DIFFERENTIATION_UNMERGE_VD,MATCH(G6,DIFFERENTIATION_ID_DIFF,0)))</f>
        <v/>
      </c>
      <c r="H7" s="2209"/>
      <c r="I7" s="2208" t="e">
        <f>IF(I6="","",INDEX(DIFFERENTIATION_UNMERGE_VD,MATCH(I6,DIFFERENTIATION_ID_DIFF,0)))</f>
        <v>#REF!</v>
      </c>
      <c r="J7" s="2209"/>
      <c r="K7" s="2208" t="e">
        <f>IF(K6="","",INDEX(DIFFERENTIATION_UNMERGE_VD,MATCH(K6,DIFFERENTIATION_ID_DIFF,0)))</f>
        <v>#REF!</v>
      </c>
      <c r="L7" s="2209"/>
      <c r="M7" s="2036"/>
      <c r="N7" s="377"/>
    </row>
    <row r="8" spans="1:14" ht="11.25" customHeight="1">
      <c r="A8" s="532"/>
      <c r="D8" s="538"/>
      <c r="E8" s="2189" t="s">
        <v>482</v>
      </c>
      <c r="F8" s="2190"/>
      <c r="G8" s="2208" t="str">
        <f>IF(G6="","",INDEX(DIFFERENTIATION_UNMERGE_AREA,MATCH(G6,DIFFERENTIATION_ID_DIFF,0)))</f>
        <v/>
      </c>
      <c r="H8" s="2209"/>
      <c r="I8" s="2208" t="e">
        <f>IF(I6="","",INDEX(DIFFERENTIATION_UNMERGE_AREA,MATCH(I6,DIFFERENTIATION_ID_DIFF,0)))</f>
        <v>#REF!</v>
      </c>
      <c r="J8" s="2209"/>
      <c r="K8" s="2208" t="e">
        <f>IF(K6="","",INDEX(DIFFERENTIATION_UNMERGE_AREA,MATCH(K6,DIFFERENTIATION_ID_DIFF,0)))</f>
        <v>#REF!</v>
      </c>
      <c r="L8" s="2209"/>
      <c r="M8" s="2041"/>
      <c r="N8" s="377"/>
    </row>
    <row r="9" spans="1:14" ht="11.25" customHeight="1">
      <c r="A9" s="532"/>
      <c r="D9" s="538"/>
      <c r="E9" s="2189" t="s">
        <v>483</v>
      </c>
      <c r="F9" s="2190"/>
      <c r="G9" s="2208" t="str">
        <f>IF(G6="","",INDEX(DIFFERENTIATION_UNMERGE_SYSTEM,MATCH(G6,DIFFERENTIATION_ID_DIFF,0)))</f>
        <v/>
      </c>
      <c r="H9" s="2209"/>
      <c r="I9" s="2208" t="e">
        <f>IF(I6="","",INDEX(DIFFERENTIATION_UNMERGE_SYSTEM,MATCH(I6,DIFFERENTIATION_ID_DIFF,0)))</f>
        <v>#REF!</v>
      </c>
      <c r="J9" s="2209"/>
      <c r="K9" s="2208" t="e">
        <f>IF(K6="","",INDEX(DIFFERENTIATION_UNMERGE_SYSTEM,MATCH(K6,DIFFERENTIATION_ID_DIFF,0)))</f>
        <v>#REF!</v>
      </c>
      <c r="L9" s="2209"/>
      <c r="M9" s="2041"/>
      <c r="N9" s="377"/>
    </row>
    <row r="10" spans="1:14" s="1625" customFormat="1" ht="11.25" customHeight="1">
      <c r="A10" s="804"/>
      <c r="B10" s="379"/>
      <c r="D10" s="1956" t="s">
        <v>224</v>
      </c>
      <c r="E10" s="1957"/>
      <c r="F10" s="1957"/>
      <c r="G10" s="1957"/>
      <c r="H10" s="1957"/>
      <c r="I10" s="1957"/>
      <c r="J10" s="1958"/>
      <c r="K10" s="1761"/>
      <c r="L10" s="1761"/>
      <c r="M10" s="2041"/>
      <c r="N10" s="377"/>
    </row>
    <row r="11" spans="1:14" s="1627" customFormat="1" ht="22.5" customHeight="1">
      <c r="A11" s="2110"/>
      <c r="B11" s="2110"/>
      <c r="C11" s="498"/>
      <c r="D11" s="531" t="s">
        <v>22</v>
      </c>
      <c r="E11" s="533" t="s">
        <v>640</v>
      </c>
      <c r="F11" s="533" t="s">
        <v>484</v>
      </c>
      <c r="G11" s="334" t="s">
        <v>227</v>
      </c>
      <c r="H11" s="334" t="s">
        <v>316</v>
      </c>
      <c r="I11" s="615" t="s">
        <v>227</v>
      </c>
      <c r="J11" s="616" t="s">
        <v>316</v>
      </c>
      <c r="K11" s="1709" t="s">
        <v>227</v>
      </c>
      <c r="L11" s="1709" t="s">
        <v>316</v>
      </c>
      <c r="M11" s="2093"/>
      <c r="N11" s="499"/>
    </row>
    <row r="12" spans="1:14" s="1622" customFormat="1" ht="10.5" customHeight="1">
      <c r="A12" s="737"/>
      <c r="D12" s="808" t="s">
        <v>43</v>
      </c>
      <c r="E12" s="808" t="s">
        <v>44</v>
      </c>
      <c r="F12" s="808" t="s">
        <v>24</v>
      </c>
      <c r="G12" s="809" t="str">
        <f>G1&amp;".1"</f>
        <v>4.1</v>
      </c>
      <c r="H12" s="809" t="str">
        <f>G1&amp;".2"</f>
        <v>4.2</v>
      </c>
      <c r="I12" s="809" t="str">
        <f>I1&amp;".1"</f>
        <v>4.1</v>
      </c>
      <c r="J12" s="809" t="str">
        <f>I1&amp;".2"</f>
        <v>4.2</v>
      </c>
      <c r="K12" s="1762" t="str">
        <f>K1&amp;".1"</f>
        <v>4.1</v>
      </c>
      <c r="L12" s="1762" t="str">
        <f>K1&amp;".2"</f>
        <v>4.2</v>
      </c>
      <c r="M12" s="809"/>
    </row>
    <row r="13" spans="1:14" ht="22.5" customHeight="1">
      <c r="A13" s="2210" t="s">
        <v>641</v>
      </c>
      <c r="D13" s="738" t="s">
        <v>43</v>
      </c>
      <c r="E13" s="156" t="s">
        <v>642</v>
      </c>
      <c r="F13" s="501" t="s">
        <v>643</v>
      </c>
      <c r="G13" s="415"/>
      <c r="H13" s="502"/>
      <c r="I13" s="415"/>
      <c r="J13" s="502"/>
      <c r="K13" s="1725"/>
      <c r="L13" s="1763"/>
      <c r="M13" s="165" t="s">
        <v>644</v>
      </c>
      <c r="N13" s="547"/>
    </row>
    <row r="14" spans="1:14" ht="22.5" customHeight="1">
      <c r="A14" s="2210"/>
      <c r="D14" s="397" t="s">
        <v>44</v>
      </c>
      <c r="E14" s="156" t="s">
        <v>645</v>
      </c>
      <c r="F14" s="501" t="s">
        <v>646</v>
      </c>
      <c r="G14" s="415"/>
      <c r="H14" s="503"/>
      <c r="I14" s="415"/>
      <c r="J14" s="503"/>
      <c r="K14" s="1725"/>
      <c r="L14" s="1763"/>
      <c r="M14" s="165" t="s">
        <v>647</v>
      </c>
      <c r="N14" s="547"/>
    </row>
    <row r="15" spans="1:14" s="1625" customFormat="1" ht="78.75" customHeight="1">
      <c r="A15" s="2210"/>
      <c r="B15" s="379"/>
      <c r="D15" s="738" t="s">
        <v>24</v>
      </c>
      <c r="E15" s="535" t="s">
        <v>648</v>
      </c>
      <c r="F15" s="735" t="s">
        <v>230</v>
      </c>
      <c r="G15" s="735" t="s">
        <v>230</v>
      </c>
      <c r="H15" s="23"/>
      <c r="I15" s="735" t="s">
        <v>230</v>
      </c>
      <c r="J15" s="23"/>
      <c r="K15" s="1709" t="s">
        <v>230</v>
      </c>
      <c r="L15" s="1764"/>
      <c r="M15" s="165" t="s">
        <v>649</v>
      </c>
      <c r="N15" s="547"/>
    </row>
    <row r="16" spans="1:14" s="1625" customFormat="1" ht="22.5" customHeight="1">
      <c r="A16" s="2210"/>
      <c r="B16" s="379"/>
      <c r="D16" s="738" t="s">
        <v>250</v>
      </c>
      <c r="E16" s="739" t="s">
        <v>650</v>
      </c>
      <c r="F16" s="735" t="s">
        <v>651</v>
      </c>
      <c r="G16" s="621"/>
      <c r="H16" s="23"/>
      <c r="I16" s="621"/>
      <c r="J16" s="23"/>
      <c r="K16" s="1765"/>
      <c r="L16" s="1764"/>
      <c r="M16" s="165"/>
      <c r="N16" s="547"/>
    </row>
    <row r="17" spans="1:25" s="1625" customFormat="1" ht="22.5" customHeight="1">
      <c r="A17" s="2210"/>
      <c r="B17" s="379"/>
      <c r="D17" s="738" t="s">
        <v>258</v>
      </c>
      <c r="E17" s="739" t="s">
        <v>652</v>
      </c>
      <c r="F17" s="735" t="s">
        <v>653</v>
      </c>
      <c r="G17" s="621"/>
      <c r="H17" s="23"/>
      <c r="I17" s="621"/>
      <c r="J17" s="23"/>
      <c r="K17" s="1765"/>
      <c r="L17" s="1764"/>
      <c r="M17" s="165"/>
      <c r="N17" s="547"/>
    </row>
    <row r="18" spans="1:25" s="1625" customFormat="1" ht="33.75" customHeight="1">
      <c r="A18" s="2210"/>
      <c r="B18" s="379"/>
      <c r="D18" s="738" t="s">
        <v>260</v>
      </c>
      <c r="E18" s="739" t="s">
        <v>654</v>
      </c>
      <c r="F18" s="735" t="s">
        <v>489</v>
      </c>
      <c r="G18" s="519"/>
      <c r="H18" s="23"/>
      <c r="I18" s="519"/>
      <c r="J18" s="23"/>
      <c r="K18" s="1766"/>
      <c r="L18" s="1764"/>
      <c r="M18" s="165"/>
      <c r="N18" s="547"/>
    </row>
    <row r="19" spans="1:25" ht="101.25" customHeight="1">
      <c r="A19" s="2210"/>
      <c r="D19" s="738" t="s">
        <v>25</v>
      </c>
      <c r="E19" s="156" t="s">
        <v>655</v>
      </c>
      <c r="F19" s="501" t="s">
        <v>464</v>
      </c>
      <c r="G19" s="504"/>
      <c r="H19" s="503"/>
      <c r="I19" s="740"/>
      <c r="J19" s="503"/>
      <c r="K19" s="1767"/>
      <c r="L19" s="1763"/>
      <c r="M19" s="165" t="s">
        <v>656</v>
      </c>
      <c r="N19" s="547"/>
    </row>
    <row r="20" spans="1:25" s="1625" customFormat="1" ht="18.75" customHeight="1">
      <c r="A20" s="2210"/>
      <c r="C20" s="741"/>
      <c r="D20" s="738" t="s">
        <v>586</v>
      </c>
      <c r="E20" s="739" t="s">
        <v>657</v>
      </c>
      <c r="F20" s="735" t="s">
        <v>230</v>
      </c>
      <c r="G20" s="735" t="s">
        <v>230</v>
      </c>
      <c r="H20" s="734" t="s">
        <v>230</v>
      </c>
      <c r="I20" s="735" t="s">
        <v>230</v>
      </c>
      <c r="J20" s="734" t="s">
        <v>230</v>
      </c>
      <c r="K20" s="1709" t="s">
        <v>230</v>
      </c>
      <c r="L20" s="1768" t="s">
        <v>230</v>
      </c>
      <c r="M20" s="733"/>
      <c r="N20" s="547"/>
      <c r="Y20" s="515"/>
    </row>
    <row r="21" spans="1:25" s="1625" customFormat="1" ht="33.75" customHeight="1">
      <c r="A21" s="2210"/>
      <c r="C21" s="741"/>
      <c r="D21" s="738" t="s">
        <v>589</v>
      </c>
      <c r="E21" s="434" t="s">
        <v>658</v>
      </c>
      <c r="F21" s="735" t="s">
        <v>659</v>
      </c>
      <c r="G21" s="728"/>
      <c r="H21" s="23"/>
      <c r="I21" s="728"/>
      <c r="J21" s="23"/>
      <c r="K21" s="1770"/>
      <c r="L21" s="1764"/>
      <c r="M21" s="733"/>
      <c r="N21" s="547"/>
      <c r="Y21" s="515"/>
    </row>
    <row r="22" spans="1:25" s="1625" customFormat="1" ht="33.75" customHeight="1">
      <c r="A22" s="2210"/>
      <c r="C22" s="741"/>
      <c r="D22" s="738" t="s">
        <v>592</v>
      </c>
      <c r="E22" s="434" t="s">
        <v>660</v>
      </c>
      <c r="F22" s="735" t="s">
        <v>661</v>
      </c>
      <c r="G22" s="728"/>
      <c r="H22" s="23"/>
      <c r="I22" s="728"/>
      <c r="J22" s="23"/>
      <c r="K22" s="1770"/>
      <c r="L22" s="1764"/>
      <c r="M22" s="733"/>
      <c r="N22" s="547"/>
      <c r="Y22" s="515"/>
    </row>
    <row r="23" spans="1:25" s="1625" customFormat="1" ht="22.5" customHeight="1">
      <c r="A23" s="2210"/>
      <c r="C23" s="741"/>
      <c r="D23" s="738" t="s">
        <v>629</v>
      </c>
      <c r="E23" s="739" t="s">
        <v>662</v>
      </c>
      <c r="F23" s="735" t="s">
        <v>230</v>
      </c>
      <c r="G23" s="735" t="s">
        <v>230</v>
      </c>
      <c r="H23" s="734" t="s">
        <v>230</v>
      </c>
      <c r="I23" s="735" t="s">
        <v>230</v>
      </c>
      <c r="J23" s="734" t="s">
        <v>230</v>
      </c>
      <c r="K23" s="1709" t="s">
        <v>230</v>
      </c>
      <c r="L23" s="1768" t="s">
        <v>230</v>
      </c>
      <c r="M23" s="733"/>
      <c r="N23" s="547"/>
      <c r="Y23" s="515"/>
    </row>
    <row r="24" spans="1:25" s="1625" customFormat="1" ht="22.5" customHeight="1">
      <c r="A24" s="2210"/>
      <c r="C24" s="741"/>
      <c r="D24" s="738" t="s">
        <v>663</v>
      </c>
      <c r="E24" s="434" t="s">
        <v>664</v>
      </c>
      <c r="F24" s="735" t="s">
        <v>665</v>
      </c>
      <c r="G24" s="728"/>
      <c r="H24" s="522"/>
      <c r="I24" s="728"/>
      <c r="J24" s="522"/>
      <c r="K24" s="1770"/>
      <c r="L24" s="1771"/>
      <c r="M24" s="733"/>
      <c r="N24" s="547"/>
      <c r="Y24" s="515"/>
    </row>
    <row r="25" spans="1:25" s="1625" customFormat="1" ht="22.5" customHeight="1">
      <c r="A25" s="2210"/>
      <c r="C25" s="741"/>
      <c r="D25" s="738" t="s">
        <v>666</v>
      </c>
      <c r="E25" s="434" t="s">
        <v>667</v>
      </c>
      <c r="F25" s="735" t="s">
        <v>230</v>
      </c>
      <c r="G25" s="735" t="s">
        <v>230</v>
      </c>
      <c r="H25" s="734" t="s">
        <v>230</v>
      </c>
      <c r="I25" s="735" t="s">
        <v>230</v>
      </c>
      <c r="J25" s="734" t="s">
        <v>230</v>
      </c>
      <c r="K25" s="1709" t="s">
        <v>230</v>
      </c>
      <c r="L25" s="1768" t="s">
        <v>230</v>
      </c>
      <c r="M25" s="733"/>
      <c r="N25" s="547"/>
      <c r="Y25" s="515"/>
    </row>
    <row r="26" spans="1:25" s="1625" customFormat="1" ht="18.75" customHeight="1">
      <c r="A26" s="2210"/>
      <c r="C26" s="741"/>
      <c r="D26" s="738" t="s">
        <v>668</v>
      </c>
      <c r="E26" s="411" t="s">
        <v>669</v>
      </c>
      <c r="F26" s="735" t="s">
        <v>670</v>
      </c>
      <c r="G26" s="519"/>
      <c r="H26" s="522"/>
      <c r="I26" s="519"/>
      <c r="J26" s="522"/>
      <c r="K26" s="1766"/>
      <c r="L26" s="1771"/>
      <c r="M26" s="733"/>
      <c r="N26" s="547"/>
      <c r="Y26" s="515"/>
    </row>
    <row r="27" spans="1:25" s="1625" customFormat="1" ht="18.75" customHeight="1">
      <c r="A27" s="2210"/>
      <c r="C27" s="741"/>
      <c r="D27" s="738" t="s">
        <v>671</v>
      </c>
      <c r="E27" s="411" t="s">
        <v>672</v>
      </c>
      <c r="F27" s="735" t="s">
        <v>673</v>
      </c>
      <c r="G27" s="519"/>
      <c r="H27" s="522"/>
      <c r="I27" s="519"/>
      <c r="J27" s="522"/>
      <c r="K27" s="1766"/>
      <c r="L27" s="1771"/>
      <c r="M27" s="733"/>
      <c r="N27" s="547"/>
      <c r="Y27" s="515"/>
    </row>
    <row r="28" spans="1:25" s="1625" customFormat="1" ht="18.75" customHeight="1">
      <c r="A28" s="2210"/>
      <c r="C28" s="741"/>
      <c r="D28" s="738" t="s">
        <v>674</v>
      </c>
      <c r="E28" s="434" t="s">
        <v>675</v>
      </c>
      <c r="F28" s="735" t="s">
        <v>230</v>
      </c>
      <c r="G28" s="735" t="s">
        <v>230</v>
      </c>
      <c r="H28" s="734" t="s">
        <v>230</v>
      </c>
      <c r="I28" s="735" t="s">
        <v>230</v>
      </c>
      <c r="J28" s="734" t="s">
        <v>230</v>
      </c>
      <c r="K28" s="1709" t="s">
        <v>230</v>
      </c>
      <c r="L28" s="1768" t="s">
        <v>230</v>
      </c>
      <c r="M28" s="733"/>
      <c r="N28" s="547"/>
      <c r="Y28" s="515"/>
    </row>
    <row r="29" spans="1:25" s="1625" customFormat="1" ht="18.75" customHeight="1">
      <c r="A29" s="2210"/>
      <c r="C29" s="741"/>
      <c r="D29" s="738" t="s">
        <v>676</v>
      </c>
      <c r="E29" s="411" t="s">
        <v>669</v>
      </c>
      <c r="F29" s="735" t="s">
        <v>677</v>
      </c>
      <c r="G29" s="519"/>
      <c r="H29" s="522"/>
      <c r="I29" s="519"/>
      <c r="J29" s="522"/>
      <c r="K29" s="1766"/>
      <c r="L29" s="1771"/>
      <c r="M29" s="733"/>
      <c r="N29" s="547"/>
      <c r="Y29" s="515"/>
    </row>
    <row r="30" spans="1:25" s="1625" customFormat="1" ht="18.75" customHeight="1">
      <c r="A30" s="2210"/>
      <c r="C30" s="741"/>
      <c r="D30" s="738" t="s">
        <v>678</v>
      </c>
      <c r="E30" s="411" t="s">
        <v>679</v>
      </c>
      <c r="F30" s="735" t="s">
        <v>680</v>
      </c>
      <c r="G30" s="519"/>
      <c r="H30" s="522"/>
      <c r="I30" s="519"/>
      <c r="J30" s="522"/>
      <c r="K30" s="1766"/>
      <c r="L30" s="1771"/>
      <c r="M30" s="733"/>
      <c r="N30" s="547"/>
      <c r="Y30" s="515"/>
    </row>
    <row r="31" spans="1:25" ht="126.75" customHeight="1">
      <c r="A31" s="2210"/>
      <c r="D31" s="738" t="s">
        <v>45</v>
      </c>
      <c r="E31" s="156" t="s">
        <v>681</v>
      </c>
      <c r="F31" s="501" t="s">
        <v>476</v>
      </c>
      <c r="G31" s="415"/>
      <c r="H31" s="503"/>
      <c r="I31" s="415"/>
      <c r="J31" s="503"/>
      <c r="K31" s="1725"/>
      <c r="L31" s="1763"/>
      <c r="M31" s="165" t="s">
        <v>682</v>
      </c>
      <c r="N31" s="547"/>
    </row>
    <row r="32" spans="1:25" ht="56.25" customHeight="1">
      <c r="A32" s="2210"/>
      <c r="D32" s="738" t="s">
        <v>26</v>
      </c>
      <c r="E32" s="156" t="s">
        <v>683</v>
      </c>
      <c r="F32" s="397" t="s">
        <v>653</v>
      </c>
      <c r="G32" s="415"/>
      <c r="H32" s="503"/>
      <c r="I32" s="415"/>
      <c r="J32" s="503"/>
      <c r="K32" s="1725"/>
      <c r="L32" s="1763"/>
      <c r="M32" s="165" t="s">
        <v>684</v>
      </c>
      <c r="N32" s="547"/>
    </row>
    <row r="33" spans="1:13" ht="11.25" customHeight="1">
      <c r="A33" s="2210"/>
      <c r="E33" s="505"/>
      <c r="F33" s="81"/>
      <c r="G33" s="81"/>
      <c r="H33" s="81"/>
      <c r="I33" s="81"/>
      <c r="J33" s="81"/>
      <c r="K33" s="1772"/>
      <c r="L33" s="1772"/>
      <c r="M33" s="81"/>
    </row>
    <row r="34" spans="1:13" ht="12.75" customHeight="1">
      <c r="A34" s="2210"/>
      <c r="D34" s="2">
        <v>1</v>
      </c>
      <c r="E34" s="218" t="s">
        <v>685</v>
      </c>
    </row>
    <row r="35" spans="1:13" ht="11.25" customHeight="1">
      <c r="A35" s="2210"/>
      <c r="D35" s="253"/>
      <c r="E35" s="218" t="s">
        <v>686</v>
      </c>
    </row>
    <row r="36" spans="1:13" s="1627" customFormat="1" ht="11.25" customHeight="1">
      <c r="A36" s="816"/>
      <c r="B36" s="386"/>
      <c r="D36" s="817"/>
      <c r="E36" s="818"/>
      <c r="K36" s="1708"/>
      <c r="L36" s="1708"/>
    </row>
    <row r="37" spans="1:13" s="1625" customFormat="1" ht="22.5" hidden="1" customHeight="1">
      <c r="A37" s="2210" t="s">
        <v>687</v>
      </c>
      <c r="B37" s="379"/>
      <c r="D37" s="738">
        <v>1</v>
      </c>
      <c r="E37" s="535" t="s">
        <v>688</v>
      </c>
      <c r="F37" s="501" t="s">
        <v>643</v>
      </c>
      <c r="G37" s="415"/>
      <c r="H37" s="387"/>
      <c r="I37" s="415"/>
      <c r="J37" s="387"/>
      <c r="K37" s="1725"/>
      <c r="L37" s="1773"/>
      <c r="M37" s="165" t="s">
        <v>689</v>
      </c>
    </row>
    <row r="38" spans="1:13" s="1625" customFormat="1" ht="22.5" hidden="1" customHeight="1">
      <c r="A38" s="2210"/>
      <c r="B38" s="379"/>
      <c r="D38" s="510" t="s">
        <v>44</v>
      </c>
      <c r="E38" s="815" t="s">
        <v>690</v>
      </c>
      <c r="F38" s="819" t="s">
        <v>464</v>
      </c>
      <c r="G38" s="819" t="s">
        <v>464</v>
      </c>
      <c r="H38" s="813"/>
      <c r="I38" s="819" t="s">
        <v>464</v>
      </c>
      <c r="J38" s="813"/>
      <c r="K38" s="1774" t="s">
        <v>464</v>
      </c>
      <c r="L38" s="1775"/>
      <c r="M38" s="814"/>
    </row>
    <row r="39" spans="1:13" s="1625" customFormat="1" ht="33.75" hidden="1" customHeight="1">
      <c r="A39" s="2210"/>
      <c r="B39" s="379"/>
      <c r="D39" s="506" t="s">
        <v>544</v>
      </c>
      <c r="E39" s="550" t="s">
        <v>691</v>
      </c>
      <c r="F39" s="501" t="s">
        <v>692</v>
      </c>
      <c r="G39" s="509"/>
      <c r="H39" s="806"/>
      <c r="I39" s="509"/>
      <c r="J39" s="806"/>
      <c r="K39" s="1776"/>
      <c r="L39" s="1777"/>
      <c r="M39" s="165" t="s">
        <v>693</v>
      </c>
    </row>
    <row r="40" spans="1:13" s="1625" customFormat="1" ht="33.75" hidden="1" customHeight="1">
      <c r="A40" s="2210"/>
      <c r="B40" s="379"/>
      <c r="D40" s="506" t="s">
        <v>547</v>
      </c>
      <c r="E40" s="550" t="s">
        <v>694</v>
      </c>
      <c r="F40" s="810" t="s">
        <v>695</v>
      </c>
      <c r="G40" s="567"/>
      <c r="H40" s="806"/>
      <c r="I40" s="567"/>
      <c r="J40" s="806"/>
      <c r="K40" s="1778"/>
      <c r="L40" s="1777"/>
      <c r="M40" s="165" t="s">
        <v>696</v>
      </c>
    </row>
    <row r="41" spans="1:13" s="1625" customFormat="1" ht="22.5" hidden="1" customHeight="1">
      <c r="A41" s="2210"/>
      <c r="B41" s="379"/>
      <c r="D41" s="506" t="s">
        <v>24</v>
      </c>
      <c r="E41" s="549" t="s">
        <v>697</v>
      </c>
      <c r="F41" s="501" t="s">
        <v>464</v>
      </c>
      <c r="G41" s="501" t="s">
        <v>464</v>
      </c>
      <c r="H41" s="807"/>
      <c r="I41" s="501" t="s">
        <v>464</v>
      </c>
      <c r="J41" s="807"/>
      <c r="K41" s="1779" t="s">
        <v>464</v>
      </c>
      <c r="L41" s="1780"/>
      <c r="M41" s="177"/>
    </row>
    <row r="42" spans="1:13" s="1625" customFormat="1" ht="45" hidden="1" customHeight="1">
      <c r="A42" s="2210"/>
      <c r="B42" s="379"/>
      <c r="D42" s="506" t="s">
        <v>250</v>
      </c>
      <c r="E42" s="550" t="s">
        <v>698</v>
      </c>
      <c r="F42" s="501" t="s">
        <v>476</v>
      </c>
      <c r="G42" s="415"/>
      <c r="H42" s="807"/>
      <c r="I42" s="415"/>
      <c r="J42" s="807"/>
      <c r="K42" s="1725"/>
      <c r="L42" s="1780"/>
      <c r="M42" s="177" t="s">
        <v>699</v>
      </c>
    </row>
    <row r="43" spans="1:13" s="1625" customFormat="1" ht="45" hidden="1" customHeight="1">
      <c r="A43" s="2210"/>
      <c r="B43" s="379"/>
      <c r="D43" s="506" t="s">
        <v>258</v>
      </c>
      <c r="E43" s="508" t="s">
        <v>700</v>
      </c>
      <c r="F43" s="811" t="s">
        <v>476</v>
      </c>
      <c r="G43" s="568"/>
      <c r="H43" s="806"/>
      <c r="I43" s="568"/>
      <c r="J43" s="806"/>
      <c r="K43" s="1781"/>
      <c r="L43" s="1777"/>
      <c r="M43" s="177" t="s">
        <v>701</v>
      </c>
    </row>
    <row r="44" spans="1:13" s="1625" customFormat="1" ht="11.25" hidden="1" customHeight="1">
      <c r="A44" s="2210"/>
      <c r="B44" s="379"/>
      <c r="D44" s="506" t="s">
        <v>25</v>
      </c>
      <c r="E44" s="507" t="s">
        <v>702</v>
      </c>
      <c r="F44" s="501" t="s">
        <v>692</v>
      </c>
      <c r="G44" s="509"/>
      <c r="H44" s="806"/>
      <c r="I44" s="509"/>
      <c r="J44" s="806"/>
      <c r="K44" s="1776"/>
      <c r="L44" s="1777"/>
      <c r="M44" s="165"/>
    </row>
    <row r="45" spans="1:13" s="1625" customFormat="1" ht="11.25" hidden="1" customHeight="1">
      <c r="A45" s="2210"/>
      <c r="B45" s="379"/>
      <c r="D45" s="506" t="s">
        <v>586</v>
      </c>
      <c r="E45" s="508" t="s">
        <v>703</v>
      </c>
      <c r="F45" s="501" t="s">
        <v>692</v>
      </c>
      <c r="G45" s="509"/>
      <c r="H45" s="806"/>
      <c r="I45" s="509"/>
      <c r="J45" s="806"/>
      <c r="K45" s="1776"/>
      <c r="L45" s="1777"/>
      <c r="M45" s="165"/>
    </row>
    <row r="46" spans="1:13" s="1625" customFormat="1" ht="11.25" hidden="1" customHeight="1">
      <c r="A46" s="2210"/>
      <c r="B46" s="379"/>
      <c r="D46" s="506" t="s">
        <v>629</v>
      </c>
      <c r="E46" s="508" t="s">
        <v>704</v>
      </c>
      <c r="F46" s="501" t="s">
        <v>692</v>
      </c>
      <c r="G46" s="509"/>
      <c r="H46" s="806"/>
      <c r="I46" s="509"/>
      <c r="J46" s="806"/>
      <c r="K46" s="1776"/>
      <c r="L46" s="1777"/>
      <c r="M46" s="165"/>
    </row>
    <row r="47" spans="1:13" s="1625" customFormat="1" ht="11.25" hidden="1" customHeight="1">
      <c r="A47" s="2210"/>
      <c r="B47" s="379"/>
      <c r="D47" s="506" t="s">
        <v>632</v>
      </c>
      <c r="E47" s="508" t="s">
        <v>705</v>
      </c>
      <c r="F47" s="501" t="s">
        <v>692</v>
      </c>
      <c r="G47" s="509"/>
      <c r="H47" s="806"/>
      <c r="I47" s="509"/>
      <c r="J47" s="806"/>
      <c r="K47" s="1776"/>
      <c r="L47" s="1777"/>
      <c r="M47" s="165"/>
    </row>
    <row r="48" spans="1:13" s="1625" customFormat="1" ht="11.25" hidden="1" customHeight="1">
      <c r="A48" s="2210"/>
      <c r="B48" s="379"/>
      <c r="D48" s="506" t="s">
        <v>706</v>
      </c>
      <c r="E48" s="511" t="s">
        <v>707</v>
      </c>
      <c r="F48" s="501" t="s">
        <v>692</v>
      </c>
      <c r="G48" s="509"/>
      <c r="H48" s="806"/>
      <c r="I48" s="509"/>
      <c r="J48" s="806"/>
      <c r="K48" s="1776"/>
      <c r="L48" s="1777"/>
      <c r="M48" s="165"/>
    </row>
    <row r="49" spans="1:13" s="1625" customFormat="1" ht="11.25" hidden="1" customHeight="1">
      <c r="A49" s="2210"/>
      <c r="B49" s="379"/>
      <c r="D49" s="506" t="s">
        <v>708</v>
      </c>
      <c r="E49" s="511" t="s">
        <v>709</v>
      </c>
      <c r="F49" s="501" t="s">
        <v>692</v>
      </c>
      <c r="G49" s="509"/>
      <c r="H49" s="806"/>
      <c r="I49" s="509"/>
      <c r="J49" s="806"/>
      <c r="K49" s="1776"/>
      <c r="L49" s="1777"/>
      <c r="M49" s="165"/>
    </row>
    <row r="50" spans="1:13" s="1625" customFormat="1" ht="11.25" hidden="1" customHeight="1">
      <c r="A50" s="2210"/>
      <c r="B50" s="379"/>
      <c r="D50" s="506" t="s">
        <v>710</v>
      </c>
      <c r="E50" s="508" t="s">
        <v>711</v>
      </c>
      <c r="F50" s="501" t="s">
        <v>692</v>
      </c>
      <c r="G50" s="509"/>
      <c r="H50" s="806"/>
      <c r="I50" s="509"/>
      <c r="J50" s="806"/>
      <c r="K50" s="1776"/>
      <c r="L50" s="1777"/>
      <c r="M50" s="165"/>
    </row>
    <row r="51" spans="1:13" s="1625" customFormat="1" ht="11.25" hidden="1" customHeight="1">
      <c r="A51" s="2210"/>
      <c r="B51" s="379"/>
      <c r="D51" s="506" t="s">
        <v>712</v>
      </c>
      <c r="E51" s="508" t="s">
        <v>713</v>
      </c>
      <c r="F51" s="501" t="s">
        <v>692</v>
      </c>
      <c r="G51" s="509"/>
      <c r="H51" s="806"/>
      <c r="I51" s="509"/>
      <c r="J51" s="806"/>
      <c r="K51" s="1776"/>
      <c r="L51" s="1777"/>
      <c r="M51" s="165"/>
    </row>
    <row r="52" spans="1:13" s="1625" customFormat="1" ht="45" hidden="1" customHeight="1">
      <c r="A52" s="2210"/>
      <c r="B52" s="379"/>
      <c r="D52" s="506" t="s">
        <v>45</v>
      </c>
      <c r="E52" s="507" t="s">
        <v>714</v>
      </c>
      <c r="F52" s="501" t="s">
        <v>692</v>
      </c>
      <c r="G52" s="509"/>
      <c r="H52" s="806"/>
      <c r="I52" s="509"/>
      <c r="J52" s="806"/>
      <c r="K52" s="1776"/>
      <c r="L52" s="1777"/>
      <c r="M52" s="165"/>
    </row>
    <row r="53" spans="1:13" s="1625" customFormat="1" ht="11.25" hidden="1" customHeight="1">
      <c r="A53" s="2210"/>
      <c r="B53" s="379"/>
      <c r="D53" s="506" t="s">
        <v>239</v>
      </c>
      <c r="E53" s="508" t="s">
        <v>703</v>
      </c>
      <c r="F53" s="501" t="s">
        <v>692</v>
      </c>
      <c r="G53" s="509"/>
      <c r="H53" s="806"/>
      <c r="I53" s="509"/>
      <c r="J53" s="806"/>
      <c r="K53" s="1776"/>
      <c r="L53" s="1777"/>
      <c r="M53" s="165"/>
    </row>
    <row r="54" spans="1:13" s="1625" customFormat="1" ht="11.25" hidden="1" customHeight="1">
      <c r="A54" s="2210"/>
      <c r="B54" s="379"/>
      <c r="D54" s="506" t="s">
        <v>241</v>
      </c>
      <c r="E54" s="508" t="s">
        <v>704</v>
      </c>
      <c r="F54" s="501" t="s">
        <v>692</v>
      </c>
      <c r="G54" s="509"/>
      <c r="H54" s="806"/>
      <c r="I54" s="509"/>
      <c r="J54" s="806"/>
      <c r="K54" s="1776"/>
      <c r="L54" s="1777"/>
      <c r="M54" s="165"/>
    </row>
    <row r="55" spans="1:13" s="1625" customFormat="1" ht="11.25" hidden="1" customHeight="1">
      <c r="A55" s="2210"/>
      <c r="B55" s="379"/>
      <c r="D55" s="506" t="s">
        <v>244</v>
      </c>
      <c r="E55" s="508" t="s">
        <v>705</v>
      </c>
      <c r="F55" s="501" t="s">
        <v>692</v>
      </c>
      <c r="G55" s="509"/>
      <c r="H55" s="806"/>
      <c r="I55" s="509"/>
      <c r="J55" s="806"/>
      <c r="K55" s="1776"/>
      <c r="L55" s="1777"/>
      <c r="M55" s="165"/>
    </row>
    <row r="56" spans="1:13" s="1625" customFormat="1" ht="11.25" hidden="1" customHeight="1">
      <c r="A56" s="2210"/>
      <c r="B56" s="379"/>
      <c r="D56" s="506" t="s">
        <v>715</v>
      </c>
      <c r="E56" s="511" t="s">
        <v>707</v>
      </c>
      <c r="F56" s="501" t="s">
        <v>692</v>
      </c>
      <c r="G56" s="509"/>
      <c r="H56" s="806"/>
      <c r="I56" s="509"/>
      <c r="J56" s="806"/>
      <c r="K56" s="1776"/>
      <c r="L56" s="1777"/>
      <c r="M56" s="165"/>
    </row>
    <row r="57" spans="1:13" s="1625" customFormat="1" ht="11.25" hidden="1" customHeight="1">
      <c r="A57" s="2210"/>
      <c r="B57" s="379"/>
      <c r="D57" s="506" t="s">
        <v>716</v>
      </c>
      <c r="E57" s="511" t="s">
        <v>709</v>
      </c>
      <c r="F57" s="501" t="s">
        <v>692</v>
      </c>
      <c r="G57" s="509"/>
      <c r="H57" s="806"/>
      <c r="I57" s="509"/>
      <c r="J57" s="806"/>
      <c r="K57" s="1776"/>
      <c r="L57" s="1777"/>
      <c r="M57" s="165"/>
    </row>
    <row r="58" spans="1:13" s="1625" customFormat="1" ht="11.25" hidden="1" customHeight="1">
      <c r="A58" s="2210"/>
      <c r="B58" s="379"/>
      <c r="D58" s="506" t="s">
        <v>246</v>
      </c>
      <c r="E58" s="508" t="s">
        <v>711</v>
      </c>
      <c r="F58" s="501" t="s">
        <v>692</v>
      </c>
      <c r="G58" s="509"/>
      <c r="H58" s="806"/>
      <c r="I58" s="509"/>
      <c r="J58" s="806"/>
      <c r="K58" s="1776"/>
      <c r="L58" s="1777"/>
      <c r="M58" s="165"/>
    </row>
    <row r="59" spans="1:13" s="1625" customFormat="1" ht="11.25" hidden="1" customHeight="1">
      <c r="A59" s="2210"/>
      <c r="B59" s="379"/>
      <c r="D59" s="506" t="s">
        <v>717</v>
      </c>
      <c r="E59" s="508" t="s">
        <v>713</v>
      </c>
      <c r="F59" s="501" t="s">
        <v>692</v>
      </c>
      <c r="G59" s="509"/>
      <c r="H59" s="806"/>
      <c r="I59" s="509"/>
      <c r="J59" s="806"/>
      <c r="K59" s="1776"/>
      <c r="L59" s="1777"/>
      <c r="M59" s="165"/>
    </row>
    <row r="60" spans="1:13" s="1625" customFormat="1" ht="33.75" hidden="1" customHeight="1">
      <c r="A60" s="2210"/>
      <c r="B60" s="379"/>
      <c r="D60" s="506" t="s">
        <v>26</v>
      </c>
      <c r="E60" s="507" t="s">
        <v>718</v>
      </c>
      <c r="F60" s="548" t="s">
        <v>476</v>
      </c>
      <c r="G60" s="568"/>
      <c r="H60" s="806"/>
      <c r="I60" s="568"/>
      <c r="J60" s="806"/>
      <c r="K60" s="1781"/>
      <c r="L60" s="1777"/>
      <c r="M60" s="177" t="s">
        <v>719</v>
      </c>
    </row>
    <row r="61" spans="1:13" s="1625" customFormat="1" ht="33.75" hidden="1" customHeight="1">
      <c r="A61" s="2210"/>
      <c r="B61" s="379"/>
      <c r="D61" s="506" t="s">
        <v>27</v>
      </c>
      <c r="E61" s="507" t="s">
        <v>720</v>
      </c>
      <c r="F61" s="553" t="s">
        <v>653</v>
      </c>
      <c r="G61" s="509"/>
      <c r="H61" s="806"/>
      <c r="I61" s="509"/>
      <c r="J61" s="806"/>
      <c r="K61" s="1776"/>
      <c r="L61" s="1777"/>
      <c r="M61" s="165"/>
    </row>
    <row r="62" spans="1:13" s="1625" customFormat="1" ht="22.5" hidden="1" customHeight="1">
      <c r="A62" s="2210"/>
      <c r="B62" s="379" t="s">
        <v>506</v>
      </c>
      <c r="D62" s="506" t="s">
        <v>46</v>
      </c>
      <c r="E62" s="507" t="s">
        <v>721</v>
      </c>
      <c r="F62" s="553" t="s">
        <v>230</v>
      </c>
      <c r="G62" s="272"/>
      <c r="H62" s="806"/>
      <c r="I62" s="272"/>
      <c r="J62" s="806"/>
      <c r="K62" s="1782"/>
      <c r="L62" s="1777"/>
      <c r="M62" s="165" t="s">
        <v>722</v>
      </c>
    </row>
    <row r="63" spans="1:13" s="1625" customFormat="1" ht="45" hidden="1" customHeight="1">
      <c r="A63" s="2210"/>
      <c r="B63" s="379" t="s">
        <v>506</v>
      </c>
      <c r="D63" s="506" t="s">
        <v>723</v>
      </c>
      <c r="E63" s="508" t="s">
        <v>724</v>
      </c>
      <c r="F63" s="548" t="s">
        <v>230</v>
      </c>
      <c r="G63" s="272"/>
      <c r="H63" s="806"/>
      <c r="I63" s="272"/>
      <c r="J63" s="806"/>
      <c r="K63" s="1782"/>
      <c r="L63" s="1777"/>
      <c r="M63" s="165" t="s">
        <v>722</v>
      </c>
    </row>
    <row r="64" spans="1:13" s="1627" customFormat="1" ht="11.25" customHeight="1">
      <c r="A64" s="816"/>
      <c r="B64" s="386"/>
      <c r="D64" s="817"/>
      <c r="E64" s="818"/>
      <c r="K64" s="1708"/>
      <c r="L64" s="1708"/>
    </row>
    <row r="65" spans="1:13" s="1625" customFormat="1" ht="22.5" hidden="1" customHeight="1">
      <c r="A65" s="2210" t="s">
        <v>725</v>
      </c>
      <c r="B65" s="379"/>
      <c r="D65" s="506">
        <v>1</v>
      </c>
      <c r="E65" s="570" t="s">
        <v>726</v>
      </c>
      <c r="F65" s="566" t="s">
        <v>643</v>
      </c>
      <c r="G65" s="567"/>
      <c r="H65" s="812"/>
      <c r="I65" s="567"/>
      <c r="J65" s="812"/>
      <c r="K65" s="1778"/>
      <c r="L65" s="1783"/>
      <c r="M65" s="176" t="s">
        <v>727</v>
      </c>
    </row>
    <row r="66" spans="1:13" s="1625" customFormat="1" ht="56.25" hidden="1" customHeight="1">
      <c r="A66" s="2210"/>
      <c r="B66" s="379"/>
      <c r="D66" s="569" t="s">
        <v>44</v>
      </c>
      <c r="E66" s="535" t="s">
        <v>728</v>
      </c>
      <c r="F66" s="501" t="s">
        <v>464</v>
      </c>
      <c r="G66" s="501" t="s">
        <v>464</v>
      </c>
      <c r="H66" s="387"/>
      <c r="I66" s="501" t="s">
        <v>464</v>
      </c>
      <c r="J66" s="387"/>
      <c r="K66" s="1779" t="s">
        <v>464</v>
      </c>
      <c r="L66" s="1773"/>
      <c r="M66" s="165"/>
    </row>
    <row r="67" spans="1:13" s="1625" customFormat="1" ht="33.75" hidden="1" customHeight="1">
      <c r="A67" s="2210"/>
      <c r="B67" s="379"/>
      <c r="D67" s="569" t="s">
        <v>541</v>
      </c>
      <c r="E67" s="739" t="s">
        <v>729</v>
      </c>
      <c r="F67" s="501" t="s">
        <v>695</v>
      </c>
      <c r="G67" s="554"/>
      <c r="H67" s="387"/>
      <c r="I67" s="554"/>
      <c r="J67" s="387"/>
      <c r="K67" s="1784"/>
      <c r="L67" s="1773"/>
      <c r="M67" s="165"/>
    </row>
    <row r="68" spans="1:13" s="1625" customFormat="1" ht="22.5" hidden="1" customHeight="1">
      <c r="A68" s="2210"/>
      <c r="B68" s="379"/>
      <c r="D68" s="569" t="s">
        <v>231</v>
      </c>
      <c r="E68" s="739" t="s">
        <v>730</v>
      </c>
      <c r="F68" s="501" t="s">
        <v>695</v>
      </c>
      <c r="G68" s="554"/>
      <c r="H68" s="387"/>
      <c r="I68" s="554"/>
      <c r="J68" s="387"/>
      <c r="K68" s="1784"/>
      <c r="L68" s="1773"/>
      <c r="M68" s="165"/>
    </row>
    <row r="69" spans="1:13" s="1625" customFormat="1" ht="22.5" hidden="1" customHeight="1">
      <c r="A69" s="2210"/>
      <c r="B69" s="379"/>
      <c r="D69" s="569" t="s">
        <v>234</v>
      </c>
      <c r="E69" s="739" t="s">
        <v>731</v>
      </c>
      <c r="F69" s="548" t="s">
        <v>476</v>
      </c>
      <c r="G69" s="568"/>
      <c r="H69" s="387"/>
      <c r="I69" s="568"/>
      <c r="J69" s="387"/>
      <c r="K69" s="1781"/>
      <c r="L69" s="1773"/>
      <c r="M69" s="165"/>
    </row>
    <row r="70" spans="1:13" s="1625" customFormat="1" ht="22.5" hidden="1" customHeight="1">
      <c r="A70" s="2210"/>
      <c r="B70" s="379"/>
      <c r="D70" s="569" t="s">
        <v>561</v>
      </c>
      <c r="E70" s="739" t="s">
        <v>732</v>
      </c>
      <c r="F70" s="548" t="s">
        <v>476</v>
      </c>
      <c r="G70" s="568"/>
      <c r="H70" s="387"/>
      <c r="I70" s="568"/>
      <c r="J70" s="387"/>
      <c r="K70" s="1781"/>
      <c r="L70" s="1773"/>
      <c r="M70" s="165"/>
    </row>
    <row r="71" spans="1:13" s="1625" customFormat="1" ht="22.5" hidden="1" customHeight="1">
      <c r="A71" s="2210"/>
      <c r="B71" s="379"/>
      <c r="D71" s="506" t="s">
        <v>24</v>
      </c>
      <c r="E71" s="507" t="s">
        <v>733</v>
      </c>
      <c r="F71" s="501" t="s">
        <v>695</v>
      </c>
      <c r="G71" s="415"/>
      <c r="H71" s="813"/>
      <c r="I71" s="415"/>
      <c r="J71" s="813"/>
      <c r="K71" s="1725"/>
      <c r="L71" s="1775"/>
      <c r="M71" s="177"/>
    </row>
    <row r="72" spans="1:13" s="1625" customFormat="1" ht="56.25" hidden="1" customHeight="1">
      <c r="A72" s="2210"/>
      <c r="B72" s="379"/>
      <c r="D72" s="506" t="s">
        <v>25</v>
      </c>
      <c r="E72" s="507" t="s">
        <v>734</v>
      </c>
      <c r="F72" s="548" t="s">
        <v>476</v>
      </c>
      <c r="G72" s="568"/>
      <c r="H72" s="806"/>
      <c r="I72" s="568"/>
      <c r="J72" s="806"/>
      <c r="K72" s="1781"/>
      <c r="L72" s="1777"/>
      <c r="M72" s="177"/>
    </row>
    <row r="73" spans="1:13" s="1625" customFormat="1" ht="33.75" hidden="1" customHeight="1">
      <c r="A73" s="2210"/>
      <c r="B73" s="379"/>
      <c r="D73" s="506" t="s">
        <v>45</v>
      </c>
      <c r="E73" s="507" t="s">
        <v>735</v>
      </c>
      <c r="F73" s="553" t="s">
        <v>653</v>
      </c>
      <c r="G73" s="509"/>
      <c r="H73" s="806"/>
      <c r="I73" s="509"/>
      <c r="J73" s="806"/>
      <c r="K73" s="1776"/>
      <c r="L73" s="1777"/>
      <c r="M73" s="165"/>
    </row>
    <row r="74" spans="1:13" s="1625" customFormat="1" ht="22.5" hidden="1" customHeight="1">
      <c r="A74" s="2210"/>
      <c r="B74" s="379" t="s">
        <v>506</v>
      </c>
      <c r="D74" s="506" t="s">
        <v>26</v>
      </c>
      <c r="E74" s="507" t="s">
        <v>736</v>
      </c>
      <c r="F74" s="553" t="s">
        <v>230</v>
      </c>
      <c r="G74" s="272"/>
      <c r="H74" s="806"/>
      <c r="I74" s="272"/>
      <c r="J74" s="806"/>
      <c r="K74" s="1782"/>
      <c r="L74" s="1777"/>
      <c r="M74" s="165" t="s">
        <v>722</v>
      </c>
    </row>
    <row r="75" spans="1:13" s="1625" customFormat="1" ht="45" hidden="1" customHeight="1">
      <c r="A75" s="2210"/>
      <c r="B75" s="379" t="s">
        <v>506</v>
      </c>
      <c r="D75" s="506" t="s">
        <v>737</v>
      </c>
      <c r="E75" s="508" t="s">
        <v>738</v>
      </c>
      <c r="F75" s="548" t="s">
        <v>230</v>
      </c>
      <c r="G75" s="272"/>
      <c r="H75" s="806"/>
      <c r="I75" s="272"/>
      <c r="J75" s="806"/>
      <c r="K75" s="1782"/>
      <c r="L75" s="1777"/>
      <c r="M75" s="165" t="s">
        <v>722</v>
      </c>
    </row>
    <row r="76" spans="1:13" s="1627" customFormat="1" ht="11.25" customHeight="1">
      <c r="A76" s="816"/>
      <c r="B76" s="386"/>
      <c r="D76" s="817"/>
      <c r="E76" s="818"/>
      <c r="K76" s="1708"/>
      <c r="L76" s="1708"/>
    </row>
    <row r="77" spans="1:13" s="1625" customFormat="1" ht="11.25" hidden="1" customHeight="1">
      <c r="A77" s="2210" t="s">
        <v>739</v>
      </c>
      <c r="B77" s="379"/>
      <c r="D77" s="506">
        <v>1</v>
      </c>
      <c r="E77" s="507" t="s">
        <v>740</v>
      </c>
      <c r="F77" s="548" t="s">
        <v>643</v>
      </c>
      <c r="G77" s="551"/>
      <c r="H77" s="806"/>
      <c r="I77" s="551"/>
      <c r="J77" s="806"/>
      <c r="K77" s="1785"/>
      <c r="L77" s="1777"/>
      <c r="M77" s="165" t="s">
        <v>741</v>
      </c>
    </row>
    <row r="78" spans="1:13" s="1625" customFormat="1" ht="11.25" hidden="1" customHeight="1">
      <c r="A78" s="2210"/>
      <c r="B78" s="379"/>
      <c r="D78" s="506" t="s">
        <v>44</v>
      </c>
      <c r="E78" s="507" t="s">
        <v>742</v>
      </c>
      <c r="F78" s="548" t="s">
        <v>643</v>
      </c>
      <c r="G78" s="551"/>
      <c r="H78" s="806"/>
      <c r="I78" s="551"/>
      <c r="J78" s="806"/>
      <c r="K78" s="1785"/>
      <c r="L78" s="1777"/>
      <c r="M78" s="165" t="s">
        <v>743</v>
      </c>
    </row>
    <row r="79" spans="1:13" s="1625" customFormat="1" ht="22.5" hidden="1" customHeight="1">
      <c r="A79" s="2210"/>
      <c r="B79" s="379"/>
      <c r="D79" s="506" t="s">
        <v>24</v>
      </c>
      <c r="E79" s="549" t="s">
        <v>744</v>
      </c>
      <c r="F79" s="501" t="s">
        <v>692</v>
      </c>
      <c r="G79" s="551"/>
      <c r="H79" s="806"/>
      <c r="I79" s="551"/>
      <c r="J79" s="806"/>
      <c r="K79" s="1785"/>
      <c r="L79" s="1777"/>
      <c r="M79" s="165" t="s">
        <v>745</v>
      </c>
    </row>
    <row r="80" spans="1:13" s="1625" customFormat="1" ht="11.25" hidden="1" customHeight="1">
      <c r="A80" s="2210"/>
      <c r="B80" s="379"/>
      <c r="D80" s="506" t="s">
        <v>250</v>
      </c>
      <c r="E80" s="550" t="s">
        <v>746</v>
      </c>
      <c r="F80" s="501" t="s">
        <v>692</v>
      </c>
      <c r="G80" s="551"/>
      <c r="H80" s="806"/>
      <c r="I80" s="551"/>
      <c r="J80" s="806"/>
      <c r="K80" s="1785"/>
      <c r="L80" s="1777"/>
      <c r="M80" s="165"/>
    </row>
    <row r="81" spans="1:13" s="1625" customFormat="1" ht="11.25" hidden="1" customHeight="1">
      <c r="A81" s="2210"/>
      <c r="B81" s="379"/>
      <c r="D81" s="506" t="s">
        <v>258</v>
      </c>
      <c r="E81" s="550" t="s">
        <v>747</v>
      </c>
      <c r="F81" s="501" t="s">
        <v>692</v>
      </c>
      <c r="G81" s="551"/>
      <c r="H81" s="806"/>
      <c r="I81" s="551"/>
      <c r="J81" s="806"/>
      <c r="K81" s="1785"/>
      <c r="L81" s="1777"/>
      <c r="M81" s="165"/>
    </row>
    <row r="82" spans="1:13" s="1625" customFormat="1" ht="11.25" hidden="1" customHeight="1">
      <c r="A82" s="2210"/>
      <c r="B82" s="379"/>
      <c r="D82" s="506" t="s">
        <v>260</v>
      </c>
      <c r="E82" s="550" t="s">
        <v>748</v>
      </c>
      <c r="F82" s="501" t="s">
        <v>692</v>
      </c>
      <c r="G82" s="551"/>
      <c r="H82" s="806"/>
      <c r="I82" s="551"/>
      <c r="J82" s="806"/>
      <c r="K82" s="1785"/>
      <c r="L82" s="1777"/>
      <c r="M82" s="165"/>
    </row>
    <row r="83" spans="1:13" s="1625" customFormat="1" ht="11.25" hidden="1" customHeight="1">
      <c r="A83" s="2210"/>
      <c r="B83" s="379"/>
      <c r="D83" s="506" t="s">
        <v>262</v>
      </c>
      <c r="E83" s="550" t="s">
        <v>749</v>
      </c>
      <c r="F83" s="501" t="s">
        <v>692</v>
      </c>
      <c r="G83" s="551"/>
      <c r="H83" s="806"/>
      <c r="I83" s="551"/>
      <c r="J83" s="806"/>
      <c r="K83" s="1785"/>
      <c r="L83" s="1777"/>
      <c r="M83" s="165"/>
    </row>
    <row r="84" spans="1:13" s="1625" customFormat="1" ht="11.25" hidden="1" customHeight="1">
      <c r="A84" s="2210"/>
      <c r="B84" s="379"/>
      <c r="D84" s="506" t="s">
        <v>750</v>
      </c>
      <c r="E84" s="550" t="s">
        <v>751</v>
      </c>
      <c r="F84" s="501" t="s">
        <v>692</v>
      </c>
      <c r="G84" s="551"/>
      <c r="H84" s="806"/>
      <c r="I84" s="551"/>
      <c r="J84" s="806"/>
      <c r="K84" s="1785"/>
      <c r="L84" s="1777"/>
      <c r="M84" s="165"/>
    </row>
    <row r="85" spans="1:13" s="1625" customFormat="1" ht="11.25" hidden="1" customHeight="1">
      <c r="A85" s="2210"/>
      <c r="B85" s="379"/>
      <c r="D85" s="506" t="s">
        <v>752</v>
      </c>
      <c r="E85" s="550" t="s">
        <v>753</v>
      </c>
      <c r="F85" s="501" t="s">
        <v>692</v>
      </c>
      <c r="G85" s="551"/>
      <c r="H85" s="806"/>
      <c r="I85" s="551"/>
      <c r="J85" s="806"/>
      <c r="K85" s="1785"/>
      <c r="L85" s="1777"/>
      <c r="M85" s="165"/>
    </row>
    <row r="86" spans="1:13" s="1625" customFormat="1" ht="11.25" hidden="1" customHeight="1">
      <c r="A86" s="2210"/>
      <c r="B86" s="379"/>
      <c r="D86" s="506" t="s">
        <v>754</v>
      </c>
      <c r="E86" s="550" t="s">
        <v>755</v>
      </c>
      <c r="F86" s="501" t="s">
        <v>692</v>
      </c>
      <c r="G86" s="551"/>
      <c r="H86" s="806"/>
      <c r="I86" s="551"/>
      <c r="J86" s="806"/>
      <c r="K86" s="1785"/>
      <c r="L86" s="1777"/>
      <c r="M86" s="165"/>
    </row>
    <row r="87" spans="1:13" s="1625" customFormat="1" ht="45" hidden="1" customHeight="1">
      <c r="A87" s="2210"/>
      <c r="B87" s="379"/>
      <c r="D87" s="506" t="s">
        <v>25</v>
      </c>
      <c r="E87" s="507" t="s">
        <v>756</v>
      </c>
      <c r="F87" s="501" t="s">
        <v>692</v>
      </c>
      <c r="G87" s="551"/>
      <c r="H87" s="806"/>
      <c r="I87" s="551"/>
      <c r="J87" s="806"/>
      <c r="K87" s="1785"/>
      <c r="L87" s="1777"/>
      <c r="M87" s="165" t="s">
        <v>757</v>
      </c>
    </row>
    <row r="88" spans="1:13" s="1625" customFormat="1" ht="11.25" hidden="1" customHeight="1">
      <c r="A88" s="2210"/>
      <c r="B88" s="379"/>
      <c r="D88" s="506" t="s">
        <v>586</v>
      </c>
      <c r="E88" s="550" t="s">
        <v>746</v>
      </c>
      <c r="F88" s="501" t="s">
        <v>692</v>
      </c>
      <c r="G88" s="551"/>
      <c r="H88" s="806"/>
      <c r="I88" s="551"/>
      <c r="J88" s="806"/>
      <c r="K88" s="1785"/>
      <c r="L88" s="1777"/>
      <c r="M88" s="165"/>
    </row>
    <row r="89" spans="1:13" s="1625" customFormat="1" ht="11.25" hidden="1" customHeight="1">
      <c r="A89" s="2210"/>
      <c r="B89" s="379"/>
      <c r="D89" s="506" t="s">
        <v>629</v>
      </c>
      <c r="E89" s="550" t="s">
        <v>747</v>
      </c>
      <c r="F89" s="501" t="s">
        <v>692</v>
      </c>
      <c r="G89" s="551"/>
      <c r="H89" s="806"/>
      <c r="I89" s="551"/>
      <c r="J89" s="806"/>
      <c r="K89" s="1785"/>
      <c r="L89" s="1777"/>
      <c r="M89" s="165"/>
    </row>
    <row r="90" spans="1:13" s="1625" customFormat="1" ht="11.25" hidden="1" customHeight="1">
      <c r="A90" s="2210"/>
      <c r="B90" s="379"/>
      <c r="D90" s="506" t="s">
        <v>632</v>
      </c>
      <c r="E90" s="550" t="s">
        <v>748</v>
      </c>
      <c r="F90" s="501" t="s">
        <v>692</v>
      </c>
      <c r="G90" s="551"/>
      <c r="H90" s="806"/>
      <c r="I90" s="551"/>
      <c r="J90" s="806"/>
      <c r="K90" s="1785"/>
      <c r="L90" s="1777"/>
      <c r="M90" s="165"/>
    </row>
    <row r="91" spans="1:13" s="1625" customFormat="1" ht="11.25" hidden="1" customHeight="1">
      <c r="A91" s="2210"/>
      <c r="B91" s="379"/>
      <c r="D91" s="506" t="s">
        <v>710</v>
      </c>
      <c r="E91" s="550" t="s">
        <v>749</v>
      </c>
      <c r="F91" s="501" t="s">
        <v>692</v>
      </c>
      <c r="G91" s="551"/>
      <c r="H91" s="806"/>
      <c r="I91" s="551"/>
      <c r="J91" s="806"/>
      <c r="K91" s="1785"/>
      <c r="L91" s="1777"/>
      <c r="M91" s="165"/>
    </row>
    <row r="92" spans="1:13" s="1625" customFormat="1" ht="11.25" hidden="1" customHeight="1">
      <c r="A92" s="2210"/>
      <c r="B92" s="379"/>
      <c r="D92" s="506" t="s">
        <v>712</v>
      </c>
      <c r="E92" s="550" t="s">
        <v>751</v>
      </c>
      <c r="F92" s="501" t="s">
        <v>692</v>
      </c>
      <c r="G92" s="551"/>
      <c r="H92" s="806"/>
      <c r="I92" s="551"/>
      <c r="J92" s="806"/>
      <c r="K92" s="1785"/>
      <c r="L92" s="1777"/>
      <c r="M92" s="165"/>
    </row>
    <row r="93" spans="1:13" s="1625" customFormat="1" ht="11.25" hidden="1" customHeight="1">
      <c r="A93" s="2210"/>
      <c r="B93" s="379"/>
      <c r="D93" s="506" t="s">
        <v>758</v>
      </c>
      <c r="E93" s="550" t="s">
        <v>753</v>
      </c>
      <c r="F93" s="501" t="s">
        <v>692</v>
      </c>
      <c r="G93" s="551"/>
      <c r="H93" s="806"/>
      <c r="I93" s="551"/>
      <c r="J93" s="806"/>
      <c r="K93" s="1785"/>
      <c r="L93" s="1777"/>
      <c r="M93" s="165"/>
    </row>
    <row r="94" spans="1:13" s="1625" customFormat="1" ht="11.25" hidden="1" customHeight="1">
      <c r="A94" s="2210"/>
      <c r="B94" s="379"/>
      <c r="D94" s="506" t="s">
        <v>759</v>
      </c>
      <c r="E94" s="550" t="s">
        <v>755</v>
      </c>
      <c r="F94" s="501" t="s">
        <v>692</v>
      </c>
      <c r="G94" s="551"/>
      <c r="H94" s="806"/>
      <c r="I94" s="551"/>
      <c r="J94" s="806"/>
      <c r="K94" s="1785"/>
      <c r="L94" s="1777"/>
      <c r="M94" s="165"/>
    </row>
    <row r="95" spans="1:13" s="1625" customFormat="1" ht="24.75" hidden="1" customHeight="1">
      <c r="A95" s="2210"/>
      <c r="B95" s="379"/>
      <c r="D95" s="506" t="s">
        <v>45</v>
      </c>
      <c r="E95" s="507" t="s">
        <v>760</v>
      </c>
      <c r="F95" s="552" t="s">
        <v>476</v>
      </c>
      <c r="G95" s="554"/>
      <c r="H95" s="806"/>
      <c r="I95" s="554"/>
      <c r="J95" s="806"/>
      <c r="K95" s="1784"/>
      <c r="L95" s="1777"/>
      <c r="M95" s="165" t="s">
        <v>761</v>
      </c>
    </row>
    <row r="96" spans="1:13" s="1625" customFormat="1" ht="33.75" hidden="1" customHeight="1">
      <c r="A96" s="2210"/>
      <c r="B96" s="379"/>
      <c r="D96" s="506" t="s">
        <v>26</v>
      </c>
      <c r="E96" s="507" t="s">
        <v>762</v>
      </c>
      <c r="F96" s="553" t="s">
        <v>653</v>
      </c>
      <c r="G96" s="555"/>
      <c r="H96" s="806"/>
      <c r="I96" s="555"/>
      <c r="J96" s="806"/>
      <c r="K96" s="1786"/>
      <c r="L96" s="1777"/>
      <c r="M96" s="165"/>
    </row>
    <row r="97" spans="1:13" s="1625" customFormat="1" ht="22.5" hidden="1" customHeight="1">
      <c r="A97" s="2210"/>
      <c r="B97" s="379" t="s">
        <v>506</v>
      </c>
      <c r="D97" s="506" t="s">
        <v>27</v>
      </c>
      <c r="E97" s="507" t="s">
        <v>763</v>
      </c>
      <c r="F97" s="553" t="s">
        <v>230</v>
      </c>
      <c r="G97" s="275"/>
      <c r="H97" s="806"/>
      <c r="I97" s="275"/>
      <c r="J97" s="806"/>
      <c r="K97" s="1787"/>
      <c r="L97" s="1777"/>
      <c r="M97" s="165" t="s">
        <v>722</v>
      </c>
    </row>
    <row r="98" spans="1:13" s="1625" customFormat="1" ht="45" hidden="1" customHeight="1">
      <c r="A98" s="2210"/>
      <c r="B98" s="379" t="s">
        <v>506</v>
      </c>
      <c r="D98" s="506" t="s">
        <v>764</v>
      </c>
      <c r="E98" s="508" t="s">
        <v>765</v>
      </c>
      <c r="F98" s="548" t="s">
        <v>230</v>
      </c>
      <c r="G98" s="275"/>
      <c r="H98" s="806"/>
      <c r="I98" s="275"/>
      <c r="J98" s="806"/>
      <c r="K98" s="1787"/>
      <c r="L98" s="1777"/>
      <c r="M98" s="165" t="s">
        <v>722</v>
      </c>
    </row>
    <row r="99" spans="1:13" s="1625" customFormat="1" ht="95.25" hidden="1" customHeight="1">
      <c r="A99" s="2210"/>
      <c r="B99" s="379" t="s">
        <v>506</v>
      </c>
      <c r="D99" s="506" t="s">
        <v>46</v>
      </c>
      <c r="E99" s="507" t="s">
        <v>766</v>
      </c>
      <c r="F99" s="548" t="s">
        <v>230</v>
      </c>
      <c r="G99" s="275"/>
      <c r="H99" s="806"/>
      <c r="I99" s="275"/>
      <c r="J99" s="806"/>
      <c r="K99" s="1787"/>
      <c r="L99" s="1777"/>
      <c r="M99" s="165" t="s">
        <v>722</v>
      </c>
    </row>
    <row r="100" spans="1:13" s="1625" customFormat="1" ht="22.5" hidden="1" customHeight="1">
      <c r="A100" s="2210"/>
      <c r="B100" s="379" t="s">
        <v>506</v>
      </c>
      <c r="D100" s="506" t="s">
        <v>86</v>
      </c>
      <c r="E100" s="507" t="s">
        <v>767</v>
      </c>
      <c r="F100" s="548" t="s">
        <v>230</v>
      </c>
      <c r="G100" s="275"/>
      <c r="H100" s="806"/>
      <c r="I100" s="275"/>
      <c r="J100" s="806"/>
      <c r="K100" s="1787"/>
      <c r="L100" s="1777"/>
      <c r="M100" s="165" t="s">
        <v>722</v>
      </c>
    </row>
    <row r="101" spans="1:13" s="1627" customFormat="1" ht="11.25" customHeight="1">
      <c r="A101" s="816"/>
      <c r="B101" s="386"/>
      <c r="D101" s="817"/>
      <c r="E101" s="818"/>
      <c r="K101" s="1708"/>
      <c r="L101" s="1708"/>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sheetPr>
    <tabColor theme="9" tint="-0.249977111117893"/>
  </sheetPr>
  <dimension ref="A1:AD15"/>
  <sheetViews>
    <sheetView showGridLines="0" topLeftCell="E4" zoomScale="85" workbookViewId="0"/>
  </sheetViews>
  <sheetFormatPr defaultColWidth="9.140625" defaultRowHeight="10.5" customHeight="1"/>
  <cols>
    <col min="1" max="3" width="6.7109375" style="1791" hidden="1" customWidth="1"/>
    <col min="4" max="4" width="6.7109375" style="1626" hidden="1" customWidth="1"/>
    <col min="5" max="5" width="3.7109375" style="1627" customWidth="1"/>
    <col min="6" max="6" width="6.28515625" style="1625" customWidth="1"/>
    <col min="7" max="7" width="37.7109375" style="1625" customWidth="1"/>
    <col min="8" max="8" width="16.5703125" style="1661" customWidth="1"/>
    <col min="9" max="10" width="19.7109375" style="1625" customWidth="1"/>
    <col min="11" max="11" width="25" style="1625" customWidth="1"/>
    <col min="12" max="13" width="25.7109375" style="1625" customWidth="1"/>
    <col min="14" max="16" width="17.7109375" style="1625" customWidth="1"/>
    <col min="17" max="24" width="19.7109375" style="1625" customWidth="1"/>
    <col min="25" max="25" width="8" style="1625" customWidth="1"/>
    <col min="26" max="26" width="3.28515625" style="1625" customWidth="1"/>
    <col min="27" max="27" width="6.28515625" style="1625" customWidth="1"/>
    <col min="28" max="28" width="34.140625" style="1625" customWidth="1"/>
    <col min="29" max="30" width="9.140625" style="1625"/>
  </cols>
  <sheetData>
    <row r="1" spans="1:30" s="1626" customFormat="1" ht="10.5" hidden="1" customHeight="1">
      <c r="A1" s="684"/>
      <c r="B1" s="684"/>
      <c r="C1" s="684"/>
      <c r="E1" s="395"/>
      <c r="H1" s="929"/>
    </row>
    <row r="2" spans="1:30" ht="10.5" hidden="1" customHeight="1"/>
    <row r="3" spans="1:30" s="1672" customFormat="1" ht="10.5" hidden="1" customHeight="1">
      <c r="A3" s="684"/>
      <c r="B3" s="684"/>
      <c r="C3" s="684"/>
      <c r="D3" s="297"/>
      <c r="E3" s="245"/>
      <c r="H3" s="925"/>
    </row>
    <row r="4" spans="1:30" ht="3" customHeight="1"/>
    <row r="5" spans="1:30" ht="25.5" customHeight="1">
      <c r="F5" s="208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88"/>
      <c r="H5" s="2088"/>
      <c r="I5" s="2088"/>
      <c r="J5" s="2088"/>
      <c r="K5" s="2088"/>
      <c r="M5" s="440"/>
      <c r="AB5" s="695"/>
    </row>
    <row r="6" spans="1:30" s="1664" customFormat="1" ht="15.75" customHeight="1">
      <c r="A6" s="934"/>
      <c r="B6" s="934"/>
      <c r="C6" s="934"/>
      <c r="D6" s="929"/>
      <c r="E6" s="1405"/>
      <c r="F6" s="2059" t="e">
        <f>IF(org=0,"Не определено",org)</f>
        <v>#REF!</v>
      </c>
      <c r="G6" s="2059"/>
      <c r="H6" s="2059"/>
      <c r="I6" s="2059"/>
      <c r="J6" s="2059"/>
      <c r="K6" s="2059"/>
      <c r="M6" s="440"/>
      <c r="AB6" s="918"/>
    </row>
    <row r="8" spans="1:30" ht="10.5" customHeight="1">
      <c r="A8" s="833"/>
      <c r="B8" s="833"/>
      <c r="C8" s="833"/>
      <c r="F8" s="1956" t="s">
        <v>224</v>
      </c>
      <c r="G8" s="1957"/>
      <c r="H8" s="1957"/>
      <c r="I8" s="1957"/>
      <c r="J8" s="1957"/>
      <c r="K8" s="1957"/>
      <c r="L8" s="1957"/>
      <c r="M8" s="1957"/>
      <c r="N8" s="1957"/>
      <c r="O8" s="1957"/>
      <c r="P8" s="1957"/>
      <c r="Q8" s="1957"/>
      <c r="R8" s="1957"/>
      <c r="S8" s="1957"/>
      <c r="T8" s="1957"/>
      <c r="U8" s="1957"/>
      <c r="V8" s="1957"/>
      <c r="W8" s="1957"/>
      <c r="X8" s="1957"/>
      <c r="Y8" s="1957"/>
      <c r="Z8" s="1957"/>
      <c r="AA8" s="1957"/>
      <c r="AB8" s="1958"/>
    </row>
    <row r="9" spans="1:30" ht="41.25" customHeight="1">
      <c r="A9" s="694"/>
      <c r="B9" s="694"/>
      <c r="C9" s="694"/>
      <c r="F9" s="2025" t="s">
        <v>22</v>
      </c>
      <c r="G9" s="2025" t="s">
        <v>798</v>
      </c>
      <c r="H9" s="2036" t="s">
        <v>799</v>
      </c>
      <c r="I9" s="2025" t="s">
        <v>800</v>
      </c>
      <c r="J9" s="2025" t="s">
        <v>801</v>
      </c>
      <c r="K9" s="2025" t="s">
        <v>802</v>
      </c>
      <c r="L9" s="2025" t="s">
        <v>803</v>
      </c>
      <c r="M9" s="2025" t="s">
        <v>804</v>
      </c>
      <c r="N9" s="2068" t="s">
        <v>805</v>
      </c>
      <c r="O9" s="2068"/>
      <c r="P9" s="2068"/>
      <c r="Q9" s="2125" t="s">
        <v>806</v>
      </c>
      <c r="R9" s="2126"/>
      <c r="S9" s="2126"/>
      <c r="T9" s="2127"/>
      <c r="U9" s="2125" t="s">
        <v>807</v>
      </c>
      <c r="V9" s="2126"/>
      <c r="W9" s="2126"/>
      <c r="X9" s="2127"/>
      <c r="Y9" s="1956" t="s">
        <v>808</v>
      </c>
      <c r="Z9" s="1957"/>
      <c r="AA9" s="1957"/>
      <c r="AB9" s="1958"/>
    </row>
    <row r="10" spans="1:30" ht="41.25" customHeight="1">
      <c r="A10" s="694"/>
      <c r="B10" s="694"/>
      <c r="C10" s="694"/>
      <c r="F10" s="2036"/>
      <c r="G10" s="2036"/>
      <c r="H10" s="2093"/>
      <c r="I10" s="2036"/>
      <c r="J10" s="2036"/>
      <c r="K10" s="2036"/>
      <c r="L10" s="2036"/>
      <c r="M10" s="2036"/>
      <c r="N10" s="692" t="s">
        <v>809</v>
      </c>
      <c r="O10" s="692" t="s">
        <v>810</v>
      </c>
      <c r="P10" s="693" t="s">
        <v>811</v>
      </c>
      <c r="Q10" s="704" t="s">
        <v>23</v>
      </c>
      <c r="R10" s="704" t="s">
        <v>812</v>
      </c>
      <c r="S10" s="704" t="s">
        <v>813</v>
      </c>
      <c r="T10" s="705" t="s">
        <v>814</v>
      </c>
      <c r="U10" s="704" t="s">
        <v>23</v>
      </c>
      <c r="V10" s="704" t="s">
        <v>815</v>
      </c>
      <c r="W10" s="704" t="s">
        <v>813</v>
      </c>
      <c r="X10" s="705" t="s">
        <v>814</v>
      </c>
      <c r="Y10" s="176" t="s">
        <v>816</v>
      </c>
      <c r="Z10" s="1956" t="s">
        <v>22</v>
      </c>
      <c r="AA10" s="1958"/>
      <c r="AB10" s="831" t="s">
        <v>817</v>
      </c>
    </row>
    <row r="11" spans="1:30" s="1622" customFormat="1" ht="5.25" hidden="1" customHeight="1">
      <c r="A11" s="834"/>
      <c r="B11" s="834"/>
      <c r="C11" s="834"/>
      <c r="E11" s="832"/>
      <c r="F11" s="2214" t="s">
        <v>302</v>
      </c>
      <c r="G11" s="2216"/>
      <c r="H11" s="2211"/>
      <c r="I11" s="2211"/>
      <c r="J11" s="2211"/>
      <c r="K11" s="2215"/>
      <c r="L11" s="2215"/>
      <c r="M11" s="2215"/>
      <c r="N11" s="2211"/>
      <c r="O11" s="2211"/>
      <c r="P11" s="2025"/>
      <c r="Q11" s="2046"/>
      <c r="R11" s="2046"/>
      <c r="S11" s="2046"/>
      <c r="T11" s="2211"/>
      <c r="U11" s="2046"/>
      <c r="V11" s="2046"/>
      <c r="W11" s="2046"/>
      <c r="X11" s="2211"/>
      <c r="Y11" s="2212"/>
      <c r="Z11" s="2212"/>
      <c r="AA11" s="2212"/>
      <c r="AB11" s="2212"/>
      <c r="AD11" s="379" t="s">
        <v>818</v>
      </c>
    </row>
    <row r="12" spans="1:30" s="1622" customFormat="1" ht="5.25" hidden="1" customHeight="1">
      <c r="A12" s="685"/>
      <c r="B12" s="685"/>
      <c r="C12" s="685"/>
      <c r="E12" s="386"/>
      <c r="F12" s="2214"/>
      <c r="G12" s="2216"/>
      <c r="H12" s="2211"/>
      <c r="I12" s="2211"/>
      <c r="J12" s="2211"/>
      <c r="K12" s="2215"/>
      <c r="L12" s="2215"/>
      <c r="M12" s="2215"/>
      <c r="N12" s="2211"/>
      <c r="O12" s="2211"/>
      <c r="P12" s="2025"/>
      <c r="Q12" s="2046"/>
      <c r="R12" s="2046"/>
      <c r="S12" s="2046"/>
      <c r="T12" s="2211"/>
      <c r="U12" s="2046"/>
      <c r="V12" s="2046"/>
      <c r="W12" s="2046"/>
      <c r="X12" s="2211"/>
      <c r="Y12" s="2213"/>
      <c r="Z12" s="2213"/>
      <c r="AA12" s="2213"/>
      <c r="AB12" s="2213"/>
    </row>
    <row r="13" spans="1:30" ht="10.5" customHeight="1">
      <c r="F13" s="691"/>
      <c r="G13" s="491" t="s">
        <v>819</v>
      </c>
      <c r="H13" s="936"/>
      <c r="I13" s="430"/>
      <c r="J13" s="430"/>
      <c r="K13" s="430"/>
      <c r="L13" s="430"/>
      <c r="M13" s="430"/>
      <c r="N13" s="430"/>
      <c r="O13" s="430"/>
      <c r="P13" s="430"/>
      <c r="Q13" s="430"/>
      <c r="R13" s="430"/>
      <c r="S13" s="430"/>
      <c r="T13" s="430"/>
      <c r="U13" s="430"/>
      <c r="V13" s="430"/>
      <c r="W13" s="430"/>
      <c r="X13" s="430"/>
      <c r="Y13" s="430"/>
      <c r="Z13" s="526"/>
      <c r="AA13" s="526"/>
      <c r="AB13" s="706"/>
    </row>
    <row r="15" spans="1:30" s="1622" customFormat="1" ht="10.5" customHeight="1">
      <c r="A15" s="935"/>
      <c r="B15" s="935"/>
      <c r="C15" s="935"/>
      <c r="E15" s="386"/>
      <c r="H15" s="379">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sheetPr>
    <tabColor theme="9" tint="-0.249977111117893"/>
  </sheetPr>
  <dimension ref="A1:BF19"/>
  <sheetViews>
    <sheetView showGridLines="0" topLeftCell="E4" zoomScale="90" workbookViewId="0"/>
  </sheetViews>
  <sheetFormatPr defaultColWidth="9.140625" defaultRowHeight="10.5" customHeight="1"/>
  <cols>
    <col min="1" max="3" width="4.140625" style="1791" hidden="1" customWidth="1"/>
    <col min="4" max="4" width="4.140625" style="1626" hidden="1" customWidth="1"/>
    <col min="5" max="5" width="3.7109375" style="1627" customWidth="1"/>
    <col min="6" max="6" width="14.42578125" style="1625" customWidth="1"/>
    <col min="7" max="7" width="3.7109375" style="1625" customWidth="1"/>
    <col min="8" max="8" width="7.7109375" style="1661" customWidth="1"/>
    <col min="9" max="10" width="16.7109375" style="1625" customWidth="1"/>
    <col min="11" max="11" width="25.7109375" style="1625" customWidth="1"/>
    <col min="12" max="12" width="8" style="1793" customWidth="1"/>
    <col min="13" max="13" width="15.5703125" style="1793" customWidth="1"/>
    <col min="14" max="14" width="3.28515625" style="1625" customWidth="1"/>
    <col min="15" max="15" width="4.7109375" style="1625" customWidth="1"/>
    <col min="16" max="16" width="9" style="1625" customWidth="1"/>
    <col min="17" max="17" width="21.7109375" style="1625" customWidth="1"/>
    <col min="18" max="18" width="14.7109375" style="1625" customWidth="1"/>
    <col min="19" max="20" width="17.7109375" style="1625" customWidth="1"/>
    <col min="21" max="21" width="9.7109375" style="1625" customWidth="1"/>
    <col min="22" max="22" width="12.7109375" style="1625" customWidth="1"/>
    <col min="23" max="23" width="9.7109375" style="1625" customWidth="1"/>
    <col min="24" max="24" width="21.7109375" style="1625" customWidth="1"/>
    <col min="25" max="25" width="12.7109375" style="1625" customWidth="1"/>
    <col min="26" max="26" width="3.28515625" style="1625" customWidth="1"/>
    <col min="27" max="27" width="7.140625" style="1625" customWidth="1"/>
    <col min="28" max="28" width="38.42578125" style="1625" customWidth="1"/>
    <col min="29" max="29" width="15.7109375" style="1625" customWidth="1"/>
    <col min="30" max="30" width="37.5703125" style="1793" customWidth="1"/>
    <col min="31" max="31" width="15.7109375" style="1625" customWidth="1"/>
    <col min="32" max="33" width="16.7109375" style="1625" customWidth="1"/>
    <col min="34" max="34" width="16.7109375" style="1794" customWidth="1"/>
    <col min="35" max="35" width="16.7109375" style="1795" customWidth="1"/>
    <col min="36" max="37" width="16.7109375" style="1625" customWidth="1"/>
    <col min="38" max="58" width="9.140625" style="1625"/>
  </cols>
  <sheetData>
    <row r="1" spans="1:58" s="1626" customFormat="1" ht="10.5" hidden="1" customHeight="1">
      <c r="A1" s="684"/>
      <c r="B1" s="684"/>
      <c r="C1" s="684"/>
      <c r="E1" s="395"/>
      <c r="H1" s="929"/>
      <c r="L1" s="900"/>
      <c r="M1" s="900"/>
      <c r="AD1" s="900"/>
      <c r="AH1" s="917"/>
      <c r="AI1" s="911"/>
    </row>
    <row r="2" spans="1:58" ht="10.5" hidden="1" customHeight="1"/>
    <row r="3" spans="1:58" s="1672" customFormat="1" ht="10.5" hidden="1" customHeight="1">
      <c r="A3" s="684"/>
      <c r="B3" s="684"/>
      <c r="C3" s="684"/>
      <c r="D3" s="297"/>
      <c r="E3" s="245"/>
      <c r="H3" s="925"/>
      <c r="L3" s="898"/>
      <c r="M3" s="898"/>
      <c r="AD3" s="898"/>
      <c r="AH3" s="915"/>
      <c r="AI3" s="909"/>
    </row>
    <row r="4" spans="1:58" ht="3" customHeight="1"/>
    <row r="5" spans="1:58" ht="25.5" customHeight="1">
      <c r="F5" s="208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88"/>
      <c r="H5" s="2088"/>
      <c r="I5" s="2088"/>
      <c r="J5" s="2088"/>
      <c r="K5" s="2088"/>
      <c r="L5" s="907"/>
      <c r="M5" s="907"/>
      <c r="AG5" s="695"/>
      <c r="AH5" s="918"/>
    </row>
    <row r="6" spans="1:58" ht="10.5" customHeight="1">
      <c r="F6" s="2059" t="e">
        <f>IF(org=0,"Не определено",org)</f>
        <v>#REF!</v>
      </c>
      <c r="G6" s="2059"/>
      <c r="H6" s="2059"/>
      <c r="I6" s="2059"/>
      <c r="J6" s="2059"/>
      <c r="K6" s="2059"/>
      <c r="L6" s="908"/>
      <c r="M6" s="908"/>
    </row>
    <row r="7" spans="1:58" ht="11.25" customHeight="1">
      <c r="E7" s="697"/>
      <c r="F7" s="708"/>
      <c r="G7" s="708"/>
      <c r="H7" s="954"/>
      <c r="I7" s="708"/>
      <c r="J7" s="708"/>
      <c r="K7" s="710"/>
      <c r="L7" s="905"/>
      <c r="M7" s="905"/>
      <c r="N7" s="708"/>
      <c r="O7" s="708"/>
      <c r="P7" s="708"/>
      <c r="Q7" s="710"/>
      <c r="R7" s="708"/>
      <c r="S7" s="708"/>
      <c r="T7" s="708"/>
      <c r="U7" s="708"/>
      <c r="V7" s="708"/>
      <c r="W7" s="708"/>
      <c r="X7" s="708"/>
      <c r="Y7" s="708"/>
      <c r="Z7" s="708"/>
      <c r="AA7" s="708"/>
      <c r="AB7" s="708"/>
      <c r="AC7" s="709"/>
      <c r="AD7" s="904"/>
      <c r="AE7" s="709"/>
      <c r="AF7" s="708"/>
      <c r="AG7" s="708"/>
      <c r="AH7" s="920"/>
      <c r="AI7" s="914"/>
      <c r="AJ7" s="708"/>
      <c r="AK7" s="708"/>
      <c r="AL7" s="699"/>
      <c r="AM7" s="699"/>
      <c r="AN7" s="699"/>
      <c r="AO7" s="696"/>
      <c r="AP7" s="696"/>
      <c r="AQ7" s="696"/>
      <c r="AR7" s="696"/>
      <c r="AS7" s="696"/>
      <c r="AT7" s="696"/>
      <c r="AU7" s="696"/>
      <c r="AV7" s="696"/>
      <c r="AW7" s="696"/>
      <c r="AX7" s="696"/>
      <c r="AY7" s="696"/>
      <c r="AZ7" s="696"/>
      <c r="BA7" s="696"/>
      <c r="BB7" s="696"/>
      <c r="BC7" s="696"/>
      <c r="BD7" s="696"/>
      <c r="BE7" s="696"/>
      <c r="BF7" s="696"/>
    </row>
    <row r="8" spans="1:58" ht="10.5" customHeight="1">
      <c r="E8" s="697"/>
      <c r="F8" s="2220" t="s">
        <v>224</v>
      </c>
      <c r="G8" s="2221"/>
      <c r="H8" s="2221"/>
      <c r="I8" s="2221"/>
      <c r="J8" s="2221"/>
      <c r="K8" s="2221"/>
      <c r="L8" s="2221"/>
      <c r="M8" s="2221"/>
      <c r="N8" s="2221"/>
      <c r="O8" s="2221"/>
      <c r="P8" s="2221"/>
      <c r="Q8" s="2221"/>
      <c r="R8" s="2221"/>
      <c r="S8" s="2221"/>
      <c r="T8" s="2221"/>
      <c r="U8" s="2221"/>
      <c r="V8" s="2221"/>
      <c r="W8" s="2221"/>
      <c r="X8" s="2221"/>
      <c r="Y8" s="2221"/>
      <c r="Z8" s="2221"/>
      <c r="AA8" s="2221"/>
      <c r="AB8" s="2221"/>
      <c r="AC8" s="2221"/>
      <c r="AD8" s="2221"/>
      <c r="AE8" s="2221"/>
      <c r="AF8" s="2221"/>
      <c r="AG8" s="2221"/>
      <c r="AH8" s="2221"/>
      <c r="AI8" s="2221"/>
      <c r="AJ8" s="2221"/>
      <c r="AK8" s="2222"/>
      <c r="AL8" s="698"/>
      <c r="AM8" s="696"/>
      <c r="AN8" s="696"/>
      <c r="AO8" s="696"/>
      <c r="AP8" s="696"/>
      <c r="AQ8" s="696"/>
      <c r="AR8" s="696"/>
      <c r="AS8" s="696"/>
      <c r="AT8" s="696"/>
      <c r="AU8" s="696"/>
      <c r="AV8" s="696"/>
      <c r="AW8" s="696"/>
      <c r="AX8" s="696"/>
      <c r="AY8" s="696"/>
      <c r="AZ8" s="696"/>
      <c r="BA8" s="696"/>
      <c r="BB8" s="696"/>
      <c r="BC8" s="696"/>
      <c r="BD8" s="696"/>
      <c r="BE8" s="696"/>
      <c r="BF8" s="696"/>
    </row>
    <row r="9" spans="1:58" ht="23.25" customHeight="1">
      <c r="A9" s="694"/>
      <c r="B9" s="694"/>
      <c r="C9" s="694"/>
      <c r="E9" s="697"/>
      <c r="F9" s="2068" t="s">
        <v>820</v>
      </c>
      <c r="G9" s="2166" t="s">
        <v>821</v>
      </c>
      <c r="H9" s="2218"/>
      <c r="I9" s="2025" t="s">
        <v>822</v>
      </c>
      <c r="J9" s="2025"/>
      <c r="K9" s="2025" t="s">
        <v>823</v>
      </c>
      <c r="L9" s="2025"/>
      <c r="M9" s="2025"/>
      <c r="N9" s="2025"/>
      <c r="O9" s="2025"/>
      <c r="P9" s="2025"/>
      <c r="Q9" s="2025"/>
      <c r="R9" s="2025"/>
      <c r="S9" s="2025"/>
      <c r="T9" s="2025"/>
      <c r="U9" s="2025"/>
      <c r="V9" s="2025"/>
      <c r="W9" s="2025"/>
      <c r="X9" s="2025"/>
      <c r="Y9" s="2025"/>
      <c r="Z9" s="2037" t="s">
        <v>824</v>
      </c>
      <c r="AA9" s="2038"/>
      <c r="AB9" s="2025" t="s">
        <v>825</v>
      </c>
      <c r="AC9" s="2025"/>
      <c r="AD9" s="2025"/>
      <c r="AE9" s="2025"/>
      <c r="AF9" s="2036" t="s">
        <v>826</v>
      </c>
      <c r="AG9" s="2025" t="s">
        <v>827</v>
      </c>
      <c r="AH9" s="2025"/>
      <c r="AI9" s="2036" t="s">
        <v>828</v>
      </c>
      <c r="AJ9" s="2025" t="s">
        <v>829</v>
      </c>
      <c r="AK9" s="2025"/>
      <c r="AL9" s="913"/>
      <c r="AM9" s="696"/>
      <c r="AN9" s="696"/>
      <c r="AO9" s="696"/>
      <c r="AP9" s="696"/>
      <c r="AQ9" s="696"/>
      <c r="AR9" s="696"/>
      <c r="AS9" s="696"/>
      <c r="AT9" s="696"/>
      <c r="AU9" s="696"/>
      <c r="AV9" s="696"/>
      <c r="AW9" s="696"/>
      <c r="AX9" s="696"/>
      <c r="AY9" s="696"/>
      <c r="AZ9" s="696"/>
      <c r="BA9" s="696"/>
      <c r="BB9" s="696"/>
      <c r="BC9" s="696"/>
      <c r="BD9" s="696"/>
      <c r="BE9" s="696"/>
      <c r="BF9" s="696"/>
    </row>
    <row r="10" spans="1:58" ht="23.25" customHeight="1">
      <c r="A10" s="694"/>
      <c r="B10" s="694"/>
      <c r="C10" s="694"/>
      <c r="E10" s="701"/>
      <c r="F10" s="2068"/>
      <c r="G10" s="2167"/>
      <c r="H10" s="2069"/>
      <c r="I10" s="2025"/>
      <c r="J10" s="2025"/>
      <c r="K10" s="2025" t="s">
        <v>830</v>
      </c>
      <c r="L10" s="1956" t="s">
        <v>831</v>
      </c>
      <c r="M10" s="1958"/>
      <c r="N10" s="2025" t="s">
        <v>832</v>
      </c>
      <c r="O10" s="2025"/>
      <c r="P10" s="2025"/>
      <c r="Q10" s="2025"/>
      <c r="R10" s="2025"/>
      <c r="S10" s="2025"/>
      <c r="T10" s="2025"/>
      <c r="U10" s="2025"/>
      <c r="V10" s="2025"/>
      <c r="W10" s="2025"/>
      <c r="X10" s="2025"/>
      <c r="Y10" s="2025"/>
      <c r="Z10" s="2039"/>
      <c r="AA10" s="2040"/>
      <c r="AB10" s="2025"/>
      <c r="AC10" s="2025"/>
      <c r="AD10" s="2025"/>
      <c r="AE10" s="2025"/>
      <c r="AF10" s="2041"/>
      <c r="AG10" s="2025"/>
      <c r="AH10" s="2025"/>
      <c r="AI10" s="2041"/>
      <c r="AJ10" s="2025"/>
      <c r="AK10" s="2025"/>
      <c r="AL10" s="913"/>
      <c r="AM10" s="702"/>
      <c r="AN10" s="702"/>
      <c r="AO10" s="702"/>
      <c r="AP10" s="702"/>
      <c r="AQ10" s="702"/>
      <c r="AR10" s="702"/>
      <c r="AS10" s="702"/>
      <c r="AT10" s="702"/>
      <c r="AU10" s="702"/>
      <c r="AV10" s="702"/>
      <c r="AW10" s="702"/>
      <c r="AX10" s="702"/>
      <c r="AY10" s="702"/>
      <c r="AZ10" s="702"/>
      <c r="BA10" s="702"/>
      <c r="BB10" s="702"/>
      <c r="BC10" s="702"/>
      <c r="BD10" s="702"/>
      <c r="BE10" s="702"/>
      <c r="BF10" s="702"/>
    </row>
    <row r="11" spans="1:58" s="1793" customFormat="1" ht="23.25" customHeight="1">
      <c r="A11" s="901"/>
      <c r="B11" s="901"/>
      <c r="C11" s="901"/>
      <c r="D11" s="900"/>
      <c r="E11" s="902"/>
      <c r="F11" s="2068"/>
      <c r="G11" s="2167"/>
      <c r="H11" s="2069"/>
      <c r="I11" s="2025"/>
      <c r="J11" s="2025"/>
      <c r="K11" s="2025"/>
      <c r="L11" s="2036" t="s">
        <v>833</v>
      </c>
      <c r="M11" s="2036" t="s">
        <v>834</v>
      </c>
      <c r="N11" s="2025" t="s">
        <v>835</v>
      </c>
      <c r="O11" s="2025"/>
      <c r="P11" s="2034" t="s">
        <v>816</v>
      </c>
      <c r="Q11" s="2034" t="s">
        <v>836</v>
      </c>
      <c r="R11" s="2034" t="s">
        <v>837</v>
      </c>
      <c r="S11" s="2034" t="s">
        <v>838</v>
      </c>
      <c r="T11" s="2034"/>
      <c r="U11" s="2034"/>
      <c r="V11" s="2034"/>
      <c r="W11" s="2034"/>
      <c r="X11" s="2034"/>
      <c r="Y11" s="2034"/>
      <c r="Z11" s="2039"/>
      <c r="AA11" s="2040"/>
      <c r="AB11" s="2025" t="s">
        <v>839</v>
      </c>
      <c r="AC11" s="2025"/>
      <c r="AD11" s="1956" t="s">
        <v>840</v>
      </c>
      <c r="AE11" s="1958"/>
      <c r="AF11" s="2041"/>
      <c r="AG11" s="2025"/>
      <c r="AH11" s="2025"/>
      <c r="AI11" s="2041"/>
      <c r="AJ11" s="2025"/>
      <c r="AK11" s="2025"/>
      <c r="AL11" s="913"/>
      <c r="AM11" s="899"/>
      <c r="AN11" s="899"/>
      <c r="AO11" s="899"/>
      <c r="AP11" s="899"/>
      <c r="AQ11" s="899"/>
      <c r="AR11" s="899"/>
      <c r="AS11" s="899"/>
      <c r="AT11" s="899"/>
      <c r="AU11" s="899"/>
      <c r="AV11" s="899"/>
      <c r="AW11" s="899"/>
      <c r="AX11" s="899"/>
      <c r="AY11" s="899"/>
      <c r="AZ11" s="899"/>
      <c r="BA11" s="899"/>
      <c r="BB11" s="899"/>
      <c r="BC11" s="899"/>
      <c r="BD11" s="899"/>
      <c r="BE11" s="899"/>
      <c r="BF11" s="899"/>
    </row>
    <row r="12" spans="1:58" ht="33.75" customHeight="1">
      <c r="A12" s="694"/>
      <c r="B12" s="694"/>
      <c r="C12" s="694"/>
      <c r="E12" s="697"/>
      <c r="F12" s="2068"/>
      <c r="G12" s="2168"/>
      <c r="H12" s="2219"/>
      <c r="I12" s="922" t="s">
        <v>23</v>
      </c>
      <c r="J12" s="922" t="s">
        <v>841</v>
      </c>
      <c r="K12" s="2025"/>
      <c r="L12" s="2093"/>
      <c r="M12" s="2093"/>
      <c r="N12" s="2025"/>
      <c r="O12" s="2025"/>
      <c r="P12" s="2034"/>
      <c r="Q12" s="2034"/>
      <c r="R12" s="2034"/>
      <c r="S12" s="906" t="s">
        <v>20</v>
      </c>
      <c r="T12" s="906" t="s">
        <v>21</v>
      </c>
      <c r="U12" s="906" t="s">
        <v>19</v>
      </c>
      <c r="V12" s="906" t="s">
        <v>842</v>
      </c>
      <c r="W12" s="906" t="s">
        <v>19</v>
      </c>
      <c r="X12" s="906" t="s">
        <v>843</v>
      </c>
      <c r="Y12" s="906" t="s">
        <v>844</v>
      </c>
      <c r="Z12" s="2042"/>
      <c r="AA12" s="2043"/>
      <c r="AB12" s="912" t="s">
        <v>845</v>
      </c>
      <c r="AC12" s="912" t="s">
        <v>846</v>
      </c>
      <c r="AD12" s="912" t="s">
        <v>845</v>
      </c>
      <c r="AE12" s="912" t="s">
        <v>846</v>
      </c>
      <c r="AF12" s="2093"/>
      <c r="AG12" s="923" t="s">
        <v>847</v>
      </c>
      <c r="AH12" s="923" t="s">
        <v>848</v>
      </c>
      <c r="AI12" s="2093"/>
      <c r="AJ12" s="923" t="s">
        <v>847</v>
      </c>
      <c r="AK12" s="923" t="s">
        <v>848</v>
      </c>
      <c r="AL12" s="913"/>
      <c r="AM12" s="696"/>
      <c r="AN12" s="696"/>
      <c r="AO12" s="696"/>
      <c r="AP12" s="696"/>
      <c r="AQ12" s="696"/>
      <c r="AR12" s="696"/>
      <c r="AS12" s="696"/>
      <c r="AT12" s="696"/>
      <c r="AU12" s="696"/>
      <c r="AV12" s="696"/>
      <c r="AW12" s="696"/>
      <c r="AX12" s="696"/>
      <c r="AY12" s="696"/>
      <c r="AZ12" s="696"/>
      <c r="BA12" s="696"/>
      <c r="BB12" s="696"/>
      <c r="BC12" s="696"/>
      <c r="BD12" s="696"/>
      <c r="BE12" s="696"/>
      <c r="BF12" s="696"/>
    </row>
    <row r="13" spans="1:58" ht="0.75" customHeight="1">
      <c r="E13" s="697"/>
      <c r="F13" s="897">
        <v>0</v>
      </c>
      <c r="G13" s="897"/>
      <c r="H13" s="897"/>
      <c r="I13" s="897"/>
      <c r="J13" s="897"/>
      <c r="K13" s="903"/>
      <c r="L13" s="903"/>
      <c r="M13" s="903"/>
      <c r="N13" s="903"/>
      <c r="O13" s="903"/>
      <c r="P13" s="903"/>
      <c r="Q13" s="903"/>
      <c r="R13" s="903"/>
      <c r="S13" s="903"/>
      <c r="T13" s="903"/>
      <c r="U13" s="903"/>
      <c r="V13" s="903"/>
      <c r="W13" s="903"/>
      <c r="X13" s="903"/>
      <c r="Y13" s="903"/>
      <c r="Z13" s="903"/>
      <c r="AA13" s="903"/>
      <c r="AB13" s="903"/>
      <c r="AC13" s="903"/>
      <c r="AD13" s="903"/>
      <c r="AE13" s="903"/>
      <c r="AF13" s="903"/>
      <c r="AG13" s="903"/>
      <c r="AH13" s="919"/>
      <c r="AI13" s="913"/>
      <c r="AJ13" s="903"/>
      <c r="AK13" s="903"/>
      <c r="AL13" s="698"/>
      <c r="AM13" s="696"/>
      <c r="AN13" s="696"/>
      <c r="AO13" s="696"/>
      <c r="AP13" s="696"/>
      <c r="AQ13" s="696"/>
      <c r="AR13" s="696"/>
      <c r="AS13" s="696"/>
      <c r="AT13" s="696"/>
      <c r="AU13" s="696"/>
      <c r="AV13" s="696"/>
      <c r="AW13" s="696"/>
      <c r="AX13" s="696"/>
      <c r="AY13" s="696"/>
      <c r="AZ13" s="696"/>
      <c r="BA13" s="696"/>
      <c r="BB13" s="696"/>
      <c r="BC13" s="696"/>
      <c r="BD13" s="696"/>
      <c r="BE13" s="696"/>
      <c r="BF13" s="696"/>
    </row>
    <row r="14" spans="1:58" ht="10.5" customHeight="1">
      <c r="E14" s="696"/>
      <c r="F14" s="707"/>
      <c r="G14" s="707"/>
      <c r="H14" s="941"/>
      <c r="I14" s="707"/>
      <c r="J14" s="707"/>
      <c r="K14" s="707"/>
      <c r="L14" s="903"/>
      <c r="M14" s="903"/>
      <c r="N14" s="707"/>
      <c r="O14" s="707"/>
      <c r="P14" s="707"/>
      <c r="Q14" s="707"/>
      <c r="R14" s="707"/>
      <c r="S14" s="707"/>
      <c r="T14" s="707"/>
      <c r="U14" s="707"/>
      <c r="V14" s="707"/>
      <c r="W14" s="707"/>
      <c r="X14" s="707"/>
      <c r="Y14" s="707"/>
      <c r="Z14" s="707"/>
      <c r="AA14" s="707"/>
      <c r="AB14" s="707"/>
      <c r="AC14" s="707"/>
      <c r="AD14" s="903"/>
      <c r="AE14" s="707"/>
      <c r="AF14" s="707"/>
      <c r="AG14" s="707"/>
      <c r="AH14" s="919"/>
      <c r="AI14" s="913"/>
      <c r="AJ14" s="707"/>
      <c r="AK14" s="707"/>
      <c r="AL14" s="696"/>
      <c r="AM14" s="696"/>
      <c r="AN14" s="696"/>
      <c r="AO14" s="696"/>
      <c r="AP14" s="696"/>
      <c r="AQ14" s="696"/>
      <c r="AR14" s="696"/>
      <c r="AS14" s="696"/>
      <c r="AT14" s="696"/>
      <c r="AU14" s="696"/>
      <c r="AV14" s="696"/>
      <c r="AW14" s="696"/>
      <c r="AX14" s="696"/>
      <c r="AY14" s="696"/>
      <c r="AZ14" s="696"/>
      <c r="BA14" s="696"/>
      <c r="BB14" s="696"/>
      <c r="BC14" s="696"/>
      <c r="BD14" s="696"/>
      <c r="BE14" s="696"/>
      <c r="BF14" s="696"/>
    </row>
    <row r="15" spans="1:58" ht="12.75" customHeight="1">
      <c r="E15" s="696"/>
      <c r="F15" s="703" t="s">
        <v>849</v>
      </c>
      <c r="G15" s="703"/>
      <c r="H15" s="940"/>
      <c r="I15" s="703"/>
      <c r="J15" s="703"/>
      <c r="K15" s="700"/>
      <c r="L15" s="899"/>
      <c r="M15" s="899"/>
      <c r="N15" s="702"/>
      <c r="O15" s="702"/>
      <c r="P15" s="702"/>
      <c r="Q15" s="702"/>
      <c r="R15" s="702"/>
      <c r="S15" s="702"/>
      <c r="T15" s="702"/>
      <c r="U15" s="702"/>
      <c r="V15" s="702"/>
      <c r="W15" s="702"/>
      <c r="X15" s="702"/>
      <c r="Y15" s="702"/>
      <c r="Z15" s="700"/>
      <c r="AA15" s="700"/>
      <c r="AB15" s="700"/>
      <c r="AC15" s="700"/>
      <c r="AD15" s="899"/>
      <c r="AE15" s="700"/>
      <c r="AF15" s="700"/>
      <c r="AG15" s="700"/>
      <c r="AH15" s="916"/>
      <c r="AI15" s="910"/>
      <c r="AJ15" s="700"/>
      <c r="AK15" s="700"/>
      <c r="AL15" s="696"/>
      <c r="AM15" s="696"/>
      <c r="AN15" s="696"/>
      <c r="AO15" s="696"/>
      <c r="AP15" s="696"/>
      <c r="AQ15" s="696"/>
      <c r="AR15" s="696"/>
      <c r="AS15" s="696"/>
      <c r="AT15" s="696"/>
      <c r="AU15" s="696"/>
      <c r="AV15" s="696"/>
      <c r="AW15" s="696"/>
      <c r="AX15" s="696"/>
      <c r="AY15" s="696"/>
      <c r="AZ15" s="696"/>
      <c r="BA15" s="696"/>
      <c r="BB15" s="696"/>
      <c r="BC15" s="696"/>
      <c r="BD15" s="696"/>
      <c r="BE15" s="696"/>
      <c r="BF15" s="696"/>
    </row>
    <row r="17" spans="5:58" ht="10.5" customHeight="1">
      <c r="E17" s="696"/>
      <c r="F17" s="2217"/>
      <c r="G17" s="2217"/>
      <c r="H17" s="2217"/>
      <c r="I17" s="2217"/>
      <c r="J17" s="2217"/>
      <c r="K17" s="700"/>
      <c r="L17" s="899"/>
      <c r="M17" s="899"/>
      <c r="N17" s="702"/>
      <c r="O17" s="702"/>
      <c r="P17" s="702"/>
      <c r="Q17" s="702"/>
      <c r="R17" s="702"/>
      <c r="S17" s="702"/>
      <c r="T17" s="702"/>
      <c r="U17" s="702"/>
      <c r="V17" s="702"/>
      <c r="W17" s="702"/>
      <c r="X17" s="702"/>
      <c r="Y17" s="702"/>
      <c r="Z17" s="700"/>
      <c r="AA17" s="700"/>
      <c r="AB17" s="700"/>
      <c r="AC17" s="700"/>
      <c r="AD17" s="899"/>
      <c r="AE17" s="700"/>
      <c r="AF17" s="700"/>
      <c r="AG17" s="700"/>
      <c r="AH17" s="916"/>
      <c r="AI17" s="910"/>
      <c r="AJ17" s="700"/>
      <c r="AK17" s="700"/>
      <c r="AL17" s="696"/>
      <c r="AM17" s="696"/>
      <c r="AN17" s="696"/>
      <c r="AO17" s="696"/>
      <c r="AP17" s="696"/>
      <c r="AQ17" s="696"/>
      <c r="AR17" s="696"/>
      <c r="AS17" s="696"/>
      <c r="AT17" s="696"/>
      <c r="AU17" s="696"/>
      <c r="AV17" s="696"/>
      <c r="AW17" s="696"/>
      <c r="AX17" s="696"/>
      <c r="AY17" s="696"/>
      <c r="AZ17" s="696"/>
      <c r="BA17" s="696"/>
      <c r="BB17" s="696"/>
      <c r="BC17" s="696"/>
      <c r="BD17" s="696"/>
      <c r="BE17" s="696"/>
      <c r="BF17" s="696"/>
    </row>
    <row r="18" spans="5:58" ht="10.5" customHeight="1">
      <c r="E18" s="696"/>
      <c r="F18" s="2217"/>
      <c r="G18" s="2217"/>
      <c r="H18" s="2217"/>
      <c r="I18" s="2217"/>
      <c r="J18" s="2217"/>
      <c r="K18" s="700"/>
      <c r="L18" s="899"/>
      <c r="M18" s="899"/>
      <c r="N18" s="702"/>
      <c r="O18" s="702"/>
      <c r="P18" s="702"/>
      <c r="Q18" s="702"/>
      <c r="R18" s="702"/>
      <c r="S18" s="702"/>
      <c r="T18" s="702"/>
      <c r="U18" s="702"/>
      <c r="V18" s="702"/>
      <c r="W18" s="702"/>
      <c r="X18" s="702"/>
      <c r="Y18" s="702"/>
      <c r="Z18" s="700"/>
      <c r="AA18" s="700"/>
      <c r="AB18" s="700"/>
      <c r="AC18" s="700"/>
      <c r="AD18" s="899"/>
      <c r="AE18" s="700"/>
      <c r="AF18" s="700"/>
      <c r="AG18" s="700"/>
      <c r="AH18" s="916"/>
      <c r="AI18" s="910"/>
      <c r="AJ18" s="700"/>
      <c r="AK18" s="700"/>
      <c r="AL18" s="696"/>
      <c r="AM18" s="696"/>
      <c r="AN18" s="696"/>
      <c r="AO18" s="696"/>
      <c r="AP18" s="696"/>
      <c r="AQ18" s="696"/>
      <c r="AR18" s="696"/>
      <c r="AS18" s="696"/>
      <c r="AT18" s="696"/>
      <c r="AU18" s="696"/>
      <c r="AV18" s="696"/>
      <c r="AW18" s="696"/>
      <c r="AX18" s="696"/>
      <c r="AY18" s="696"/>
      <c r="AZ18" s="696"/>
      <c r="BA18" s="696"/>
      <c r="BB18" s="696"/>
      <c r="BC18" s="696"/>
      <c r="BD18" s="696"/>
      <c r="BE18" s="696"/>
      <c r="BF18" s="696"/>
    </row>
    <row r="19" spans="5:58" ht="10.5" customHeight="1">
      <c r="E19" s="696"/>
      <c r="F19" s="2217"/>
      <c r="G19" s="2217"/>
      <c r="H19" s="2217"/>
      <c r="I19" s="2217"/>
      <c r="J19" s="2217"/>
      <c r="K19" s="700"/>
      <c r="L19" s="899"/>
      <c r="M19" s="899"/>
      <c r="N19" s="702"/>
      <c r="O19" s="702"/>
      <c r="P19" s="702"/>
      <c r="Q19" s="702"/>
      <c r="R19" s="702"/>
      <c r="S19" s="702"/>
      <c r="T19" s="702"/>
      <c r="U19" s="702"/>
      <c r="V19" s="702"/>
      <c r="W19" s="702"/>
      <c r="X19" s="702"/>
      <c r="Y19" s="702"/>
      <c r="Z19" s="700"/>
      <c r="AA19" s="700"/>
      <c r="AB19" s="700"/>
      <c r="AC19" s="700"/>
      <c r="AD19" s="899"/>
      <c r="AE19" s="700"/>
      <c r="AF19" s="700"/>
      <c r="AG19" s="700"/>
      <c r="AH19" s="916"/>
      <c r="AI19" s="910"/>
      <c r="AJ19" s="700"/>
      <c r="AK19" s="700"/>
      <c r="AL19" s="696"/>
      <c r="AM19" s="696"/>
      <c r="AN19" s="696"/>
      <c r="AO19" s="696"/>
      <c r="AP19" s="696"/>
      <c r="AQ19" s="696"/>
      <c r="AR19" s="696"/>
      <c r="AS19" s="696"/>
      <c r="AT19" s="696"/>
      <c r="AU19" s="696"/>
      <c r="AV19" s="696"/>
      <c r="AW19" s="696"/>
      <c r="AX19" s="696"/>
      <c r="AY19" s="696"/>
      <c r="AZ19" s="696"/>
      <c r="BA19" s="696"/>
      <c r="BB19" s="696"/>
      <c r="BC19" s="696"/>
      <c r="BD19" s="696"/>
      <c r="BE19" s="696"/>
      <c r="BF19" s="696"/>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V58"/>
  <sheetViews>
    <sheetView showGridLines="0" topLeftCell="E4" zoomScale="85" workbookViewId="0"/>
  </sheetViews>
  <sheetFormatPr defaultColWidth="9.140625" defaultRowHeight="10.5" customHeight="1"/>
  <cols>
    <col min="1" max="3" width="4.140625" style="1792" hidden="1" customWidth="1"/>
    <col min="4" max="4" width="4.140625" style="1687" hidden="1" customWidth="1"/>
    <col min="5" max="5" width="3.7109375" style="1627" customWidth="1"/>
    <col min="6" max="6" width="6.28515625" style="1661" customWidth="1"/>
    <col min="7" max="7" width="60.140625" style="1661" customWidth="1"/>
    <col min="8" max="9" width="21.7109375" style="1661" hidden="1" customWidth="1"/>
    <col min="10" max="10" width="0.140625" style="1661" customWidth="1"/>
    <col min="11" max="11" width="1.7109375" style="1661" customWidth="1"/>
    <col min="12" max="22" width="9.140625" style="1661"/>
  </cols>
  <sheetData>
    <row r="1" spans="1:22" s="1687" customFormat="1" ht="10.5" hidden="1" customHeight="1">
      <c r="A1" s="934"/>
      <c r="B1" s="934"/>
      <c r="C1" s="934"/>
      <c r="E1" s="395"/>
    </row>
    <row r="2" spans="1:22" ht="10.5" hidden="1" customHeight="1"/>
    <row r="3" spans="1:22" s="1660" customFormat="1" ht="10.5" hidden="1" customHeight="1">
      <c r="A3" s="934"/>
      <c r="B3" s="934"/>
      <c r="C3" s="934"/>
      <c r="D3" s="929"/>
      <c r="E3" s="245"/>
    </row>
    <row r="4" spans="1:22" ht="3" customHeight="1"/>
    <row r="5" spans="1:22" ht="25.5" customHeight="1">
      <c r="F5" s="208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88"/>
      <c r="H5" s="2088"/>
      <c r="I5" s="2088"/>
      <c r="J5" s="2088"/>
    </row>
    <row r="6" spans="1:22" ht="10.5" customHeight="1">
      <c r="F6" s="2059" t="e">
        <f>IF(org=0,"Не определено",org)</f>
        <v>#REF!</v>
      </c>
      <c r="G6" s="2059"/>
      <c r="H6" s="2059"/>
      <c r="I6" s="2059"/>
      <c r="J6" s="2059"/>
    </row>
    <row r="7" spans="1:22" ht="11.25" customHeight="1">
      <c r="E7" s="938"/>
      <c r="F7" s="1003"/>
      <c r="G7" s="1003"/>
      <c r="H7" s="1003"/>
      <c r="I7" s="1003"/>
      <c r="J7" s="1003"/>
      <c r="K7" s="926"/>
      <c r="L7" s="926"/>
      <c r="M7" s="926"/>
      <c r="N7" s="926"/>
      <c r="O7" s="926"/>
      <c r="P7" s="926"/>
      <c r="Q7" s="926"/>
      <c r="R7" s="926"/>
      <c r="S7" s="926"/>
      <c r="T7" s="926"/>
      <c r="U7" s="926"/>
      <c r="V7" s="926"/>
    </row>
    <row r="8" spans="1:22" s="1622" customFormat="1" ht="5.25" customHeight="1">
      <c r="A8" s="935"/>
      <c r="B8" s="935"/>
      <c r="C8" s="935"/>
      <c r="E8" s="1004"/>
      <c r="F8" s="1005"/>
      <c r="G8" s="1005"/>
      <c r="H8" s="1005"/>
      <c r="I8" s="1005"/>
      <c r="J8" s="1005"/>
      <c r="K8" s="1004"/>
      <c r="L8" s="1004"/>
      <c r="M8" s="1004"/>
      <c r="N8" s="1004"/>
      <c r="O8" s="1004"/>
      <c r="P8" s="1004"/>
      <c r="Q8" s="1004"/>
      <c r="R8" s="1004"/>
      <c r="S8" s="1004"/>
      <c r="T8" s="1004"/>
      <c r="U8" s="1004"/>
      <c r="V8" s="1004"/>
    </row>
    <row r="9" spans="1:22" ht="10.5" customHeight="1">
      <c r="E9" s="938"/>
      <c r="F9" s="2223" t="s">
        <v>224</v>
      </c>
      <c r="G9" s="2224"/>
      <c r="H9" s="2224"/>
      <c r="I9" s="2224"/>
      <c r="J9" s="2224"/>
      <c r="K9" s="1016"/>
      <c r="L9" s="926"/>
      <c r="M9" s="926"/>
      <c r="N9" s="926"/>
      <c r="O9" s="926"/>
      <c r="P9" s="926"/>
      <c r="Q9" s="926"/>
      <c r="R9" s="926"/>
      <c r="S9" s="926"/>
      <c r="T9" s="926"/>
      <c r="U9" s="926"/>
      <c r="V9" s="926"/>
    </row>
    <row r="10" spans="1:22" ht="24" customHeight="1">
      <c r="E10" s="926"/>
      <c r="F10" s="2227" t="s">
        <v>22</v>
      </c>
      <c r="G10" s="2231" t="s">
        <v>850</v>
      </c>
      <c r="H10" s="2211" t="s">
        <v>851</v>
      </c>
      <c r="I10" s="2211"/>
      <c r="J10" s="2211"/>
      <c r="K10" s="1009"/>
      <c r="L10" s="926"/>
      <c r="M10" s="926"/>
      <c r="N10" s="926"/>
      <c r="O10" s="926"/>
      <c r="P10" s="926"/>
      <c r="Q10" s="926"/>
      <c r="R10" s="926"/>
      <c r="S10" s="926"/>
      <c r="T10" s="926"/>
      <c r="U10" s="926"/>
      <c r="V10" s="926"/>
    </row>
    <row r="11" spans="1:22" ht="24" customHeight="1">
      <c r="E11" s="926"/>
      <c r="F11" s="2228"/>
      <c r="G11" s="2231"/>
      <c r="H11" s="2230" t="e">
        <f>INDEX(IP_MAIN_LIST_NAME_IP,MATCH(H8,IP_MAIN_LIST_IP_ID,0))&amp;" ("&amp;INDEX(IP_MAIN_START_DATE,MATCH(H8,IP_MAIN_LIST_IP_ID,0))&amp;"-"&amp;INDEX(IP_MAIN_END_DATE,MATCH(H8,IP_MAIN_LIST_IP_ID,0))&amp;")"</f>
        <v>#N/A</v>
      </c>
      <c r="I11" s="2230"/>
      <c r="J11" s="2230"/>
      <c r="K11" s="1009"/>
      <c r="L11" s="926"/>
      <c r="M11" s="926"/>
      <c r="N11" s="926"/>
      <c r="O11" s="926"/>
      <c r="P11" s="926"/>
      <c r="Q11" s="926"/>
      <c r="R11" s="926"/>
      <c r="S11" s="926"/>
      <c r="T11" s="926"/>
      <c r="U11" s="926"/>
      <c r="V11" s="926"/>
    </row>
    <row r="12" spans="1:22" ht="10.5" customHeight="1">
      <c r="F12" s="2229"/>
      <c r="G12" s="2231"/>
      <c r="H12" s="1002" t="s">
        <v>852</v>
      </c>
      <c r="I12" s="1008"/>
      <c r="J12" s="1002"/>
      <c r="K12" s="1010"/>
    </row>
    <row r="13" spans="1:22" ht="10.5" hidden="1" customHeight="1">
      <c r="F13" s="1002">
        <v>1</v>
      </c>
      <c r="G13" s="1002">
        <v>2</v>
      </c>
      <c r="H13" s="1002">
        <v>3</v>
      </c>
      <c r="I13" s="1002">
        <v>4</v>
      </c>
      <c r="J13" s="1002">
        <v>5</v>
      </c>
      <c r="K13" s="1010"/>
    </row>
    <row r="14" spans="1:22" ht="11.25" customHeight="1">
      <c r="F14" s="1001" t="s">
        <v>853</v>
      </c>
      <c r="G14" s="2225" t="s">
        <v>854</v>
      </c>
      <c r="H14" s="2225"/>
      <c r="I14" s="2225"/>
      <c r="J14" s="2225"/>
      <c r="K14" s="1010"/>
    </row>
    <row r="15" spans="1:22" ht="11.25" customHeight="1">
      <c r="F15" s="1006">
        <v>1</v>
      </c>
      <c r="G15" s="524" t="s">
        <v>855</v>
      </c>
      <c r="H15" s="1012">
        <f t="shared" ref="H15:H36" si="0">SUM(I15:J15)</f>
        <v>0</v>
      </c>
      <c r="I15" s="1012">
        <f>SUM(I16:I27)</f>
        <v>0</v>
      </c>
      <c r="J15" s="1001"/>
      <c r="K15" s="1010"/>
    </row>
    <row r="16" spans="1:22" ht="22.5" customHeight="1">
      <c r="F16" s="1006" t="s">
        <v>856</v>
      </c>
      <c r="G16" s="1013" t="s">
        <v>857</v>
      </c>
      <c r="H16" s="1012">
        <f t="shared" si="0"/>
        <v>0</v>
      </c>
      <c r="I16" s="1011"/>
      <c r="J16" s="1001"/>
      <c r="K16" s="1010"/>
    </row>
    <row r="17" spans="6:11" ht="22.5" customHeight="1">
      <c r="F17" s="1006" t="s">
        <v>858</v>
      </c>
      <c r="G17" s="1013" t="s">
        <v>859</v>
      </c>
      <c r="H17" s="1012">
        <f t="shared" si="0"/>
        <v>0</v>
      </c>
      <c r="I17" s="1011"/>
      <c r="J17" s="1001"/>
      <c r="K17" s="1010"/>
    </row>
    <row r="18" spans="6:11" ht="33.75" customHeight="1">
      <c r="F18" s="1006" t="s">
        <v>860</v>
      </c>
      <c r="G18" s="1013" t="s">
        <v>861</v>
      </c>
      <c r="H18" s="1012">
        <f t="shared" si="0"/>
        <v>0</v>
      </c>
      <c r="I18" s="1011"/>
      <c r="J18" s="1001"/>
      <c r="K18" s="1010"/>
    </row>
    <row r="19" spans="6:11" ht="33.75" customHeight="1">
      <c r="F19" s="1006" t="s">
        <v>862</v>
      </c>
      <c r="G19" s="1013" t="s">
        <v>863</v>
      </c>
      <c r="H19" s="1012">
        <f t="shared" si="0"/>
        <v>0</v>
      </c>
      <c r="I19" s="1011"/>
      <c r="J19" s="1001"/>
      <c r="K19" s="1010"/>
    </row>
    <row r="20" spans="6:11" ht="45" customHeight="1">
      <c r="F20" s="1006" t="s">
        <v>864</v>
      </c>
      <c r="G20" s="1013" t="s">
        <v>865</v>
      </c>
      <c r="H20" s="1012">
        <f t="shared" si="0"/>
        <v>0</v>
      </c>
      <c r="I20" s="1011"/>
      <c r="J20" s="1001"/>
      <c r="K20" s="1010"/>
    </row>
    <row r="21" spans="6:11" ht="33.75" customHeight="1">
      <c r="F21" s="1006" t="s">
        <v>866</v>
      </c>
      <c r="G21" s="1013" t="s">
        <v>867</v>
      </c>
      <c r="H21" s="1012">
        <f t="shared" si="0"/>
        <v>0</v>
      </c>
      <c r="I21" s="1011"/>
      <c r="J21" s="1001"/>
      <c r="K21" s="1010"/>
    </row>
    <row r="22" spans="6:11" ht="33.75" customHeight="1">
      <c r="F22" s="1006" t="s">
        <v>868</v>
      </c>
      <c r="G22" s="1013" t="s">
        <v>869</v>
      </c>
      <c r="H22" s="1012">
        <f t="shared" si="0"/>
        <v>0</v>
      </c>
      <c r="I22" s="1011"/>
      <c r="J22" s="1001"/>
      <c r="K22" s="1010"/>
    </row>
    <row r="23" spans="6:11" ht="22.5" customHeight="1">
      <c r="F23" s="1006" t="s">
        <v>870</v>
      </c>
      <c r="G23" s="1013" t="s">
        <v>871</v>
      </c>
      <c r="H23" s="1012">
        <f t="shared" si="0"/>
        <v>0</v>
      </c>
      <c r="I23" s="1011"/>
      <c r="J23" s="1001"/>
      <c r="K23" s="1010"/>
    </row>
    <row r="24" spans="6:11" ht="22.5" customHeight="1">
      <c r="F24" s="1006" t="s">
        <v>872</v>
      </c>
      <c r="G24" s="1013" t="s">
        <v>873</v>
      </c>
      <c r="H24" s="1012">
        <f t="shared" si="0"/>
        <v>0</v>
      </c>
      <c r="I24" s="1011"/>
      <c r="J24" s="1001"/>
      <c r="K24" s="1010"/>
    </row>
    <row r="25" spans="6:11" ht="33.75" customHeight="1">
      <c r="F25" s="1006" t="s">
        <v>874</v>
      </c>
      <c r="G25" s="1013" t="s">
        <v>875</v>
      </c>
      <c r="H25" s="1012">
        <f t="shared" si="0"/>
        <v>0</v>
      </c>
      <c r="I25" s="1011"/>
      <c r="J25" s="1001"/>
      <c r="K25" s="1010"/>
    </row>
    <row r="26" spans="6:11" ht="33.75" customHeight="1">
      <c r="F26" s="1006" t="s">
        <v>876</v>
      </c>
      <c r="G26" s="1013" t="s">
        <v>877</v>
      </c>
      <c r="H26" s="1012">
        <f t="shared" si="0"/>
        <v>0</v>
      </c>
      <c r="I26" s="1011"/>
      <c r="J26" s="1001"/>
      <c r="K26" s="1010"/>
    </row>
    <row r="27" spans="6:11" ht="11.25" customHeight="1">
      <c r="F27" s="1006" t="s">
        <v>878</v>
      </c>
      <c r="G27" s="1013" t="s">
        <v>879</v>
      </c>
      <c r="H27" s="1012">
        <f t="shared" si="0"/>
        <v>0</v>
      </c>
      <c r="I27" s="1011"/>
      <c r="J27" s="1001"/>
      <c r="K27" s="1010"/>
    </row>
    <row r="28" spans="6:11" ht="11.25" customHeight="1">
      <c r="F28" s="1006">
        <v>2</v>
      </c>
      <c r="G28" s="524" t="s">
        <v>880</v>
      </c>
      <c r="H28" s="1012">
        <f t="shared" si="0"/>
        <v>0</v>
      </c>
      <c r="I28" s="1012">
        <f>SUM(I29:I31)</f>
        <v>0</v>
      </c>
      <c r="J28" s="1001"/>
      <c r="K28" s="1010"/>
    </row>
    <row r="29" spans="6:11" ht="11.25" customHeight="1">
      <c r="F29" s="1006" t="s">
        <v>541</v>
      </c>
      <c r="G29" s="1013" t="s">
        <v>881</v>
      </c>
      <c r="H29" s="1012">
        <f t="shared" si="0"/>
        <v>0</v>
      </c>
      <c r="I29" s="1011"/>
      <c r="J29" s="1001"/>
      <c r="K29" s="1010"/>
    </row>
    <row r="30" spans="6:11" ht="11.25" customHeight="1">
      <c r="F30" s="1006" t="s">
        <v>231</v>
      </c>
      <c r="G30" s="1013" t="s">
        <v>882</v>
      </c>
      <c r="H30" s="1012">
        <f t="shared" si="0"/>
        <v>0</v>
      </c>
      <c r="I30" s="1011"/>
      <c r="J30" s="1001"/>
      <c r="K30" s="1010"/>
    </row>
    <row r="31" spans="6:11" ht="11.25" customHeight="1">
      <c r="F31" s="1006" t="s">
        <v>234</v>
      </c>
      <c r="G31" s="1013" t="s">
        <v>883</v>
      </c>
      <c r="H31" s="1012">
        <f t="shared" si="0"/>
        <v>0</v>
      </c>
      <c r="I31" s="1011"/>
      <c r="J31" s="1001"/>
      <c r="K31" s="1010"/>
    </row>
    <row r="32" spans="6:11" ht="11.25" customHeight="1">
      <c r="F32" s="1006">
        <v>3</v>
      </c>
      <c r="G32" s="524" t="s">
        <v>884</v>
      </c>
      <c r="H32" s="1012">
        <f t="shared" si="0"/>
        <v>0</v>
      </c>
      <c r="I32" s="1012">
        <f>SUM(I33:I34)</f>
        <v>0</v>
      </c>
      <c r="J32" s="1001"/>
      <c r="K32" s="1010"/>
    </row>
    <row r="33" spans="6:11" ht="33.75" customHeight="1">
      <c r="F33" s="1006" t="s">
        <v>250</v>
      </c>
      <c r="G33" s="1013" t="s">
        <v>885</v>
      </c>
      <c r="H33" s="1012">
        <f t="shared" si="0"/>
        <v>0</v>
      </c>
      <c r="I33" s="1011"/>
      <c r="J33" s="1001"/>
      <c r="K33" s="1010"/>
    </row>
    <row r="34" spans="6:11" ht="11.25" customHeight="1">
      <c r="F34" s="1006" t="s">
        <v>258</v>
      </c>
      <c r="G34" s="1013" t="s">
        <v>886</v>
      </c>
      <c r="H34" s="1012">
        <f t="shared" si="0"/>
        <v>0</v>
      </c>
      <c r="I34" s="1011"/>
      <c r="J34" s="1001"/>
      <c r="K34" s="1010"/>
    </row>
    <row r="35" spans="6:11" ht="11.25" customHeight="1">
      <c r="F35" s="1006">
        <v>4</v>
      </c>
      <c r="G35" s="524" t="s">
        <v>887</v>
      </c>
      <c r="H35" s="1012">
        <f t="shared" si="0"/>
        <v>0</v>
      </c>
      <c r="I35" s="1011"/>
      <c r="J35" s="1001"/>
      <c r="K35" s="1010"/>
    </row>
    <row r="36" spans="6:11" ht="11.25" customHeight="1">
      <c r="F36" s="1006"/>
      <c r="G36" s="525" t="s">
        <v>888</v>
      </c>
      <c r="H36" s="1012">
        <f t="shared" si="0"/>
        <v>0</v>
      </c>
      <c r="I36" s="1012">
        <f>SUM(I15,I28,I32,I35)</f>
        <v>0</v>
      </c>
      <c r="J36" s="1001"/>
      <c r="K36" s="1010"/>
    </row>
    <row r="37" spans="6:11" ht="27.75" customHeight="1">
      <c r="F37" s="1007" t="s">
        <v>889</v>
      </c>
      <c r="G37" s="2226" t="s">
        <v>890</v>
      </c>
      <c r="H37" s="2226"/>
      <c r="I37" s="2226"/>
      <c r="J37" s="2226"/>
      <c r="K37" s="1010"/>
    </row>
    <row r="38" spans="6:11" ht="22.5" customHeight="1">
      <c r="F38" s="1006" t="s">
        <v>43</v>
      </c>
      <c r="G38" s="524" t="s">
        <v>891</v>
      </c>
      <c r="H38" s="1012">
        <f t="shared" ref="H38:H58" si="1">SUM(I38:J38)</f>
        <v>0</v>
      </c>
      <c r="I38" s="1012">
        <f>SUM(I39,I44,I47)</f>
        <v>0</v>
      </c>
      <c r="J38" s="1001"/>
      <c r="K38" s="1010"/>
    </row>
    <row r="39" spans="6:11" ht="11.25" customHeight="1">
      <c r="F39" s="1006" t="s">
        <v>856</v>
      </c>
      <c r="G39" s="1013" t="s">
        <v>855</v>
      </c>
      <c r="H39" s="1012">
        <f t="shared" si="1"/>
        <v>0</v>
      </c>
      <c r="I39" s="1012">
        <f>SUM(I40:I43)</f>
        <v>0</v>
      </c>
      <c r="J39" s="1001"/>
      <c r="K39" s="1010"/>
    </row>
    <row r="40" spans="6:11" ht="22.5" customHeight="1">
      <c r="F40" s="1006" t="s">
        <v>892</v>
      </c>
      <c r="G40" s="1014" t="s">
        <v>893</v>
      </c>
      <c r="H40" s="1012">
        <f t="shared" si="1"/>
        <v>0</v>
      </c>
      <c r="I40" s="1011"/>
      <c r="J40" s="1001"/>
      <c r="K40" s="1010"/>
    </row>
    <row r="41" spans="6:11" ht="11.25" customHeight="1">
      <c r="F41" s="1006" t="s">
        <v>894</v>
      </c>
      <c r="G41" s="1014" t="s">
        <v>895</v>
      </c>
      <c r="H41" s="1012">
        <f t="shared" si="1"/>
        <v>0</v>
      </c>
      <c r="I41" s="1011"/>
      <c r="J41" s="1001"/>
      <c r="K41" s="1010"/>
    </row>
    <row r="42" spans="6:11" ht="11.25" customHeight="1">
      <c r="F42" s="1006" t="s">
        <v>896</v>
      </c>
      <c r="G42" s="1014" t="s">
        <v>897</v>
      </c>
      <c r="H42" s="1012">
        <f t="shared" si="1"/>
        <v>0</v>
      </c>
      <c r="I42" s="1011"/>
      <c r="J42" s="1001"/>
      <c r="K42" s="1010"/>
    </row>
    <row r="43" spans="6:11" ht="33.75" customHeight="1">
      <c r="F43" s="1006" t="s">
        <v>898</v>
      </c>
      <c r="G43" s="1014" t="s">
        <v>899</v>
      </c>
      <c r="H43" s="1012">
        <f t="shared" si="1"/>
        <v>0</v>
      </c>
      <c r="I43" s="1011"/>
      <c r="J43" s="1001"/>
      <c r="K43" s="1010"/>
    </row>
    <row r="44" spans="6:11" ht="11.25" customHeight="1">
      <c r="F44" s="1006" t="s">
        <v>858</v>
      </c>
      <c r="G44" s="1013" t="s">
        <v>884</v>
      </c>
      <c r="H44" s="1012">
        <f t="shared" si="1"/>
        <v>0</v>
      </c>
      <c r="I44" s="1012">
        <f>SUM(I45:I46)</f>
        <v>0</v>
      </c>
      <c r="J44" s="1001"/>
      <c r="K44" s="1010"/>
    </row>
    <row r="45" spans="6:11" ht="45" customHeight="1">
      <c r="F45" s="1006" t="s">
        <v>900</v>
      </c>
      <c r="G45" s="1014" t="s">
        <v>885</v>
      </c>
      <c r="H45" s="1012">
        <f t="shared" si="1"/>
        <v>0</v>
      </c>
      <c r="I45" s="1011"/>
      <c r="J45" s="1001"/>
      <c r="K45" s="1010"/>
    </row>
    <row r="46" spans="6:11" ht="11.25" customHeight="1">
      <c r="F46" s="1006" t="s">
        <v>901</v>
      </c>
      <c r="G46" s="1014" t="s">
        <v>886</v>
      </c>
      <c r="H46" s="1012">
        <f t="shared" si="1"/>
        <v>0</v>
      </c>
      <c r="I46" s="1011"/>
      <c r="J46" s="1001"/>
      <c r="K46" s="1010"/>
    </row>
    <row r="47" spans="6:11" ht="11.25" customHeight="1">
      <c r="F47" s="1006" t="s">
        <v>860</v>
      </c>
      <c r="G47" s="1013" t="s">
        <v>902</v>
      </c>
      <c r="H47" s="1012">
        <f t="shared" si="1"/>
        <v>0</v>
      </c>
      <c r="I47" s="1011"/>
      <c r="J47" s="1001"/>
      <c r="K47" s="1010"/>
    </row>
    <row r="48" spans="6:11" ht="22.5" customHeight="1">
      <c r="F48" s="1006" t="s">
        <v>44</v>
      </c>
      <c r="G48" s="524" t="s">
        <v>903</v>
      </c>
      <c r="H48" s="1012">
        <f t="shared" si="1"/>
        <v>0</v>
      </c>
      <c r="I48" s="1012">
        <f>SUM(I49,I54,I57)</f>
        <v>0</v>
      </c>
      <c r="J48" s="1001"/>
      <c r="K48" s="1010"/>
    </row>
    <row r="49" spans="6:11" ht="11.25" customHeight="1">
      <c r="F49" s="1006" t="s">
        <v>541</v>
      </c>
      <c r="G49" s="1013" t="s">
        <v>855</v>
      </c>
      <c r="H49" s="1012">
        <f t="shared" si="1"/>
        <v>0</v>
      </c>
      <c r="I49" s="1012">
        <f>SUM(I50:I53)</f>
        <v>0</v>
      </c>
      <c r="J49" s="1001"/>
      <c r="K49" s="1010"/>
    </row>
    <row r="50" spans="6:11" ht="22.5" customHeight="1">
      <c r="F50" s="1006" t="s">
        <v>544</v>
      </c>
      <c r="G50" s="1014" t="s">
        <v>893</v>
      </c>
      <c r="H50" s="1012">
        <f t="shared" si="1"/>
        <v>0</v>
      </c>
      <c r="I50" s="1011"/>
      <c r="J50" s="1001"/>
      <c r="K50" s="1010"/>
    </row>
    <row r="51" spans="6:11" ht="11.25" customHeight="1">
      <c r="F51" s="1006" t="s">
        <v>547</v>
      </c>
      <c r="G51" s="1014" t="s">
        <v>895</v>
      </c>
      <c r="H51" s="1012">
        <f t="shared" si="1"/>
        <v>0</v>
      </c>
      <c r="I51" s="1011"/>
      <c r="J51" s="1001"/>
      <c r="K51" s="1010"/>
    </row>
    <row r="52" spans="6:11" ht="11.25" customHeight="1">
      <c r="F52" s="1006" t="s">
        <v>904</v>
      </c>
      <c r="G52" s="1014" t="s">
        <v>897</v>
      </c>
      <c r="H52" s="1012">
        <f t="shared" si="1"/>
        <v>0</v>
      </c>
      <c r="I52" s="1011"/>
      <c r="J52" s="1001"/>
      <c r="K52" s="1010"/>
    </row>
    <row r="53" spans="6:11" ht="33.75" customHeight="1">
      <c r="F53" s="1006" t="s">
        <v>905</v>
      </c>
      <c r="G53" s="1014" t="s">
        <v>899</v>
      </c>
      <c r="H53" s="1012">
        <f t="shared" si="1"/>
        <v>0</v>
      </c>
      <c r="I53" s="1011"/>
      <c r="J53" s="1001"/>
      <c r="K53" s="1010"/>
    </row>
    <row r="54" spans="6:11" ht="11.25" customHeight="1">
      <c r="F54" s="1006" t="s">
        <v>231</v>
      </c>
      <c r="G54" s="1013" t="s">
        <v>884</v>
      </c>
      <c r="H54" s="1012">
        <f t="shared" si="1"/>
        <v>0</v>
      </c>
      <c r="I54" s="1012">
        <f>SUM(I55:I56)</f>
        <v>0</v>
      </c>
      <c r="J54" s="1001"/>
      <c r="K54" s="1010"/>
    </row>
    <row r="55" spans="6:11" ht="45" customHeight="1">
      <c r="F55" s="1006" t="s">
        <v>551</v>
      </c>
      <c r="G55" s="1014" t="s">
        <v>885</v>
      </c>
      <c r="H55" s="1012">
        <f t="shared" si="1"/>
        <v>0</v>
      </c>
      <c r="I55" s="1011"/>
      <c r="J55" s="1001"/>
      <c r="K55" s="1010"/>
    </row>
    <row r="56" spans="6:11" ht="11.25" customHeight="1">
      <c r="F56" s="1006" t="s">
        <v>553</v>
      </c>
      <c r="G56" s="1014" t="s">
        <v>886</v>
      </c>
      <c r="H56" s="1012">
        <f t="shared" si="1"/>
        <v>0</v>
      </c>
      <c r="I56" s="1011"/>
      <c r="J56" s="1001"/>
      <c r="K56" s="1010"/>
    </row>
    <row r="57" spans="6:11" ht="11.25" customHeight="1">
      <c r="F57" s="1006" t="s">
        <v>234</v>
      </c>
      <c r="G57" s="1013" t="s">
        <v>902</v>
      </c>
      <c r="H57" s="1012">
        <f t="shared" si="1"/>
        <v>0</v>
      </c>
      <c r="I57" s="1011"/>
      <c r="J57" s="1001"/>
      <c r="K57" s="1010"/>
    </row>
    <row r="58" spans="6:11" ht="11.25" customHeight="1">
      <c r="F58" s="1006"/>
      <c r="G58" s="1015" t="s">
        <v>888</v>
      </c>
      <c r="H58" s="1012">
        <f t="shared" si="1"/>
        <v>0</v>
      </c>
      <c r="I58" s="1012">
        <f>SUM(I38,I48)</f>
        <v>0</v>
      </c>
      <c r="J58" s="1001"/>
      <c r="K58" s="1010"/>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sheetPr>
    <tabColor theme="9" tint="-0.249977111117893"/>
  </sheetPr>
  <dimension ref="A1:GB24"/>
  <sheetViews>
    <sheetView showGridLines="0" topLeftCell="E4" zoomScale="90" workbookViewId="0"/>
  </sheetViews>
  <sheetFormatPr defaultColWidth="9.140625" defaultRowHeight="12" customHeight="1"/>
  <cols>
    <col min="1" max="1" width="4.7109375" style="1803" hidden="1" customWidth="1"/>
    <col min="2" max="2" width="4.7109375" style="1804" hidden="1" customWidth="1"/>
    <col min="3" max="4" width="4.7109375" style="1803" hidden="1" customWidth="1"/>
    <col min="5" max="5" width="3.5703125" style="1803" customWidth="1"/>
    <col min="6" max="6" width="6.7109375" style="1803" customWidth="1"/>
    <col min="7" max="7" width="18.7109375" style="1803" customWidth="1"/>
    <col min="8" max="8" width="27.28515625" style="1803" customWidth="1"/>
    <col min="9" max="9" width="18.7109375" style="1803" customWidth="1"/>
    <col min="10" max="14" width="0.85546875" style="1803" hidden="1" customWidth="1"/>
    <col min="15" max="28" width="21.7109375" style="1803" customWidth="1"/>
    <col min="29" max="71" width="0.85546875" style="1803" customWidth="1"/>
    <col min="72" max="79" width="21.7109375" style="1803" hidden="1" customWidth="1"/>
    <col min="80" max="81" width="29.140625" style="1803" hidden="1" customWidth="1"/>
    <col min="82" max="89" width="21.7109375" style="1803" hidden="1" customWidth="1"/>
    <col min="90" max="102" width="0.7109375" style="1803" hidden="1" customWidth="1"/>
    <col min="103" max="114" width="21.7109375" style="1803" hidden="1" customWidth="1"/>
    <col min="115" max="178" width="0.7109375" style="1803" hidden="1" customWidth="1"/>
    <col min="179" max="179" width="0.140625" style="1803" customWidth="1"/>
    <col min="180" max="184" width="9.140625" style="1803"/>
  </cols>
  <sheetData>
    <row r="1" spans="2:180" s="1796" customFormat="1" ht="12" hidden="1" customHeight="1">
      <c r="B1" s="711"/>
      <c r="C1" s="712"/>
      <c r="D1" s="712"/>
    </row>
    <row r="2" spans="2:180" s="1796" customFormat="1" ht="12" hidden="1" customHeight="1">
      <c r="B2" s="711"/>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3"/>
      <c r="AC2" s="712"/>
      <c r="AD2" s="712"/>
      <c r="AE2" s="712"/>
      <c r="AF2" s="712"/>
      <c r="AG2" s="712"/>
      <c r="AH2" s="712"/>
      <c r="AI2" s="712"/>
      <c r="AJ2" s="712"/>
      <c r="AK2" s="712"/>
      <c r="AL2" s="712"/>
      <c r="AM2" s="712"/>
      <c r="AN2" s="712"/>
      <c r="AO2" s="712"/>
      <c r="AP2" s="712"/>
      <c r="AQ2" s="712"/>
      <c r="AR2" s="712"/>
      <c r="AS2" s="712"/>
      <c r="AT2" s="712"/>
      <c r="AU2" s="712"/>
      <c r="AV2" s="712"/>
      <c r="AW2" s="712"/>
      <c r="AX2" s="712"/>
      <c r="AY2" s="712"/>
      <c r="AZ2" s="712"/>
      <c r="BA2" s="712"/>
      <c r="BB2" s="712"/>
      <c r="BC2" s="712"/>
      <c r="BD2" s="712"/>
      <c r="BE2" s="712"/>
      <c r="BF2" s="712"/>
      <c r="BG2" s="712"/>
      <c r="BH2" s="712"/>
      <c r="BI2" s="712"/>
      <c r="BJ2" s="712"/>
      <c r="BK2" s="712"/>
      <c r="BL2" s="712"/>
      <c r="BM2" s="712"/>
      <c r="BN2" s="712"/>
      <c r="BO2" s="712"/>
      <c r="BP2" s="712"/>
      <c r="BQ2" s="712"/>
      <c r="BR2" s="712"/>
      <c r="BS2" s="712"/>
      <c r="BT2" s="712"/>
      <c r="BU2" s="712"/>
      <c r="BV2" s="712"/>
      <c r="BW2" s="712"/>
      <c r="BX2" s="712"/>
      <c r="BY2" s="712"/>
      <c r="BZ2" s="712"/>
      <c r="CA2" s="712"/>
      <c r="CB2" s="712"/>
      <c r="CC2" s="712"/>
      <c r="CD2" s="712"/>
      <c r="CE2" s="712"/>
      <c r="CF2" s="712"/>
      <c r="CG2" s="712"/>
      <c r="CH2" s="712"/>
      <c r="CI2" s="712"/>
      <c r="CJ2" s="712"/>
      <c r="CK2" s="712"/>
      <c r="CL2" s="712"/>
      <c r="CM2" s="712"/>
      <c r="CN2" s="712"/>
      <c r="CO2" s="712"/>
      <c r="CP2" s="712"/>
      <c r="CQ2" s="712"/>
      <c r="CR2" s="712"/>
      <c r="CS2" s="712"/>
      <c r="CT2" s="712"/>
      <c r="CU2" s="712"/>
      <c r="CV2" s="712"/>
      <c r="CW2" s="712"/>
      <c r="CX2" s="712"/>
      <c r="CY2" s="712"/>
      <c r="CZ2" s="712"/>
      <c r="DA2" s="712"/>
      <c r="DB2" s="712"/>
      <c r="DC2" s="712"/>
      <c r="DD2" s="712"/>
      <c r="DE2" s="712"/>
      <c r="DF2" s="712"/>
      <c r="DG2" s="712"/>
      <c r="DH2" s="712"/>
      <c r="DI2" s="712"/>
      <c r="DJ2" s="712"/>
      <c r="DK2" s="712"/>
      <c r="DL2" s="712"/>
      <c r="DM2" s="712"/>
      <c r="DN2" s="712"/>
      <c r="DO2" s="712"/>
      <c r="DP2" s="712"/>
      <c r="DQ2" s="712"/>
      <c r="DR2" s="712"/>
      <c r="DS2" s="712"/>
      <c r="DT2" s="712"/>
      <c r="DU2" s="712"/>
      <c r="DV2" s="712"/>
      <c r="DW2" s="712"/>
      <c r="DX2" s="712"/>
      <c r="DY2" s="712"/>
      <c r="DZ2" s="712"/>
      <c r="EA2" s="712"/>
      <c r="EB2" s="712"/>
      <c r="EC2" s="712"/>
      <c r="ED2" s="712"/>
      <c r="EE2" s="712"/>
      <c r="EF2" s="712"/>
      <c r="EG2" s="712"/>
      <c r="EH2" s="712"/>
      <c r="EI2" s="712"/>
      <c r="EJ2" s="712"/>
      <c r="EK2" s="712"/>
      <c r="EL2" s="712"/>
      <c r="EM2" s="712"/>
      <c r="EN2" s="712"/>
      <c r="EO2" s="712"/>
      <c r="EP2" s="712"/>
      <c r="EQ2" s="712"/>
      <c r="ER2" s="712"/>
      <c r="ES2" s="712"/>
      <c r="ET2" s="712"/>
      <c r="EU2" s="712"/>
      <c r="EV2" s="712"/>
      <c r="EW2" s="712"/>
      <c r="EX2" s="712"/>
      <c r="EY2" s="712"/>
      <c r="EZ2" s="712"/>
      <c r="FA2" s="712"/>
      <c r="FB2" s="712"/>
      <c r="FC2" s="712"/>
      <c r="FD2" s="712"/>
      <c r="FE2" s="712"/>
      <c r="FF2" s="712"/>
      <c r="FG2" s="712"/>
      <c r="FH2" s="712"/>
      <c r="FI2" s="712"/>
      <c r="FJ2" s="712"/>
      <c r="FK2" s="712"/>
      <c r="FL2" s="712"/>
      <c r="FM2" s="712"/>
      <c r="FN2" s="712"/>
      <c r="FO2" s="712"/>
      <c r="FP2" s="712"/>
      <c r="FQ2" s="712"/>
      <c r="FR2" s="712"/>
      <c r="FS2" s="712"/>
      <c r="FT2" s="712"/>
      <c r="FU2" s="712"/>
      <c r="FV2" s="712"/>
      <c r="FW2" s="712"/>
    </row>
    <row r="3" spans="2:180" s="1796" customFormat="1" ht="12" hidden="1" customHeight="1">
      <c r="B3" s="711"/>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3"/>
      <c r="AC3" s="712"/>
      <c r="AD3" s="712"/>
      <c r="AE3" s="712"/>
      <c r="AF3" s="712"/>
      <c r="AG3" s="712"/>
      <c r="AH3" s="712"/>
      <c r="AI3" s="712"/>
      <c r="AJ3" s="712"/>
      <c r="AK3" s="712"/>
      <c r="AL3" s="712"/>
      <c r="AM3" s="712"/>
      <c r="AN3" s="712"/>
      <c r="AO3" s="712"/>
      <c r="AP3" s="712"/>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2"/>
      <c r="CC3" s="712"/>
      <c r="CD3" s="712"/>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2"/>
      <c r="ED3" s="712"/>
      <c r="EE3" s="712"/>
      <c r="EF3" s="712"/>
      <c r="EG3" s="712"/>
      <c r="EH3" s="712"/>
      <c r="EI3" s="712"/>
      <c r="EJ3" s="712"/>
      <c r="EK3" s="712"/>
      <c r="EL3" s="712"/>
      <c r="EM3" s="712"/>
      <c r="EN3" s="712"/>
      <c r="EO3" s="712"/>
      <c r="EP3" s="712"/>
      <c r="EQ3" s="712"/>
      <c r="ER3" s="712"/>
      <c r="ES3" s="712"/>
      <c r="ET3" s="712"/>
      <c r="EU3" s="712"/>
      <c r="EV3" s="712"/>
      <c r="EW3" s="712"/>
      <c r="EX3" s="712"/>
      <c r="EY3" s="712"/>
      <c r="EZ3" s="712"/>
      <c r="FA3" s="712"/>
      <c r="FB3" s="712"/>
      <c r="FC3" s="712"/>
      <c r="FD3" s="712"/>
      <c r="FE3" s="712"/>
      <c r="FF3" s="712"/>
      <c r="FG3" s="712"/>
      <c r="FH3" s="712"/>
      <c r="FI3" s="712"/>
      <c r="FJ3" s="712"/>
      <c r="FK3" s="712"/>
      <c r="FL3" s="712"/>
      <c r="FM3" s="712"/>
      <c r="FN3" s="712"/>
      <c r="FO3" s="712"/>
      <c r="FP3" s="712"/>
      <c r="FQ3" s="712"/>
      <c r="FR3" s="712"/>
      <c r="FS3" s="712"/>
      <c r="FT3" s="712"/>
      <c r="FU3" s="712"/>
      <c r="FV3" s="712"/>
      <c r="FW3" s="712"/>
    </row>
    <row r="4" spans="2:180" ht="10.5" customHeight="1">
      <c r="B4" s="714"/>
      <c r="C4" s="715"/>
      <c r="D4" s="715"/>
      <c r="E4" s="715"/>
      <c r="F4" s="715"/>
      <c r="G4" s="715"/>
      <c r="H4" s="716"/>
      <c r="I4" s="716"/>
      <c r="J4" s="716"/>
      <c r="K4" s="716"/>
      <c r="L4" s="716"/>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717"/>
      <c r="AL4" s="717"/>
      <c r="AM4" s="717"/>
      <c r="AN4" s="717"/>
      <c r="AO4" s="717"/>
      <c r="AP4" s="717"/>
      <c r="AQ4" s="717"/>
      <c r="AR4" s="717"/>
      <c r="AS4" s="717"/>
      <c r="AT4" s="717"/>
      <c r="AU4" s="717"/>
      <c r="AV4" s="717"/>
      <c r="AW4" s="717"/>
      <c r="AX4" s="717"/>
      <c r="AY4" s="717"/>
      <c r="AZ4" s="717"/>
      <c r="BA4" s="717"/>
      <c r="BB4" s="717"/>
      <c r="BC4" s="717"/>
      <c r="BD4" s="717"/>
      <c r="BE4" s="717"/>
      <c r="BF4" s="717"/>
      <c r="BG4" s="717"/>
      <c r="BH4" s="717"/>
      <c r="BI4" s="717"/>
      <c r="BJ4" s="717"/>
      <c r="BK4" s="717"/>
      <c r="BL4" s="717"/>
      <c r="BM4" s="717"/>
      <c r="BN4" s="717"/>
      <c r="BO4" s="717"/>
      <c r="BP4" s="717"/>
      <c r="BQ4" s="717"/>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717"/>
      <c r="EB4" s="717"/>
      <c r="EC4" s="717"/>
      <c r="ED4" s="717"/>
      <c r="EE4" s="717"/>
      <c r="EF4" s="717"/>
      <c r="EG4" s="717"/>
      <c r="EH4" s="717"/>
      <c r="EI4" s="717"/>
      <c r="EJ4" s="717"/>
      <c r="EK4" s="717"/>
      <c r="EL4" s="717"/>
      <c r="EM4" s="717"/>
      <c r="EN4" s="717"/>
      <c r="EO4" s="717"/>
      <c r="EP4" s="717"/>
      <c r="EQ4" s="717"/>
      <c r="ER4" s="717"/>
      <c r="ES4" s="717"/>
      <c r="ET4" s="717"/>
      <c r="EU4" s="717"/>
      <c r="EV4" s="717"/>
      <c r="EW4" s="717"/>
      <c r="EX4" s="717"/>
      <c r="EY4" s="717"/>
      <c r="EZ4" s="717"/>
      <c r="FA4" s="717"/>
      <c r="FB4" s="717"/>
      <c r="FC4" s="717"/>
      <c r="FD4" s="717"/>
      <c r="FE4" s="717"/>
      <c r="FF4" s="717"/>
      <c r="FG4" s="717"/>
      <c r="FH4" s="717"/>
      <c r="FI4" s="717"/>
      <c r="FJ4" s="717"/>
      <c r="FK4" s="717"/>
      <c r="FL4" s="717"/>
      <c r="FM4" s="717"/>
      <c r="FN4" s="717"/>
      <c r="FO4" s="717"/>
      <c r="FP4" s="717"/>
      <c r="FQ4" s="717"/>
      <c r="FR4" s="717"/>
      <c r="FS4" s="717"/>
      <c r="FT4" s="717"/>
      <c r="FU4" s="717"/>
      <c r="FV4" s="717"/>
      <c r="FW4" s="717"/>
    </row>
    <row r="5" spans="2:180" s="1798" customFormat="1" ht="25.5" customHeight="1">
      <c r="B5" s="1604"/>
      <c r="E5" s="1605"/>
      <c r="F5" s="2255" t="e">
        <f>IP_NAME_FORM&amp;"
Показатели качества, надежности и энергетической эффективности в сфере "&amp;TEMPLATE_SPHERE_RUS&amp;" на "&amp;TITLE_FIL_YEAR&amp;" год"</f>
        <v>#REF!</v>
      </c>
      <c r="G5" s="2022"/>
      <c r="H5" s="2022"/>
      <c r="I5" s="2022"/>
      <c r="J5" s="2022"/>
      <c r="K5" s="2022"/>
      <c r="L5" s="2022"/>
      <c r="M5" s="2022"/>
      <c r="N5" s="2022"/>
      <c r="O5" s="2022"/>
      <c r="P5" s="2022"/>
      <c r="Q5" s="2022"/>
      <c r="R5" s="2022"/>
      <c r="S5" s="2022"/>
      <c r="T5" s="2022"/>
      <c r="U5" s="2022"/>
      <c r="V5" s="2022"/>
      <c r="W5" s="2022"/>
      <c r="X5" s="2022"/>
      <c r="Y5" s="2022"/>
      <c r="Z5" s="2022"/>
      <c r="AA5" s="2022"/>
      <c r="AB5" s="2022"/>
      <c r="AC5" s="2022"/>
      <c r="AD5" s="2022"/>
      <c r="AE5" s="2022"/>
      <c r="AF5" s="2022"/>
      <c r="AG5" s="2022"/>
      <c r="AH5" s="2022"/>
      <c r="AI5" s="2022"/>
      <c r="AJ5" s="2022"/>
      <c r="AK5" s="2022"/>
      <c r="AL5" s="2022"/>
      <c r="AM5" s="2022"/>
      <c r="AN5" s="2022"/>
      <c r="AO5" s="2022"/>
      <c r="AP5" s="2022"/>
      <c r="AQ5" s="2022"/>
      <c r="AR5" s="2022"/>
      <c r="AS5" s="2022"/>
      <c r="AT5" s="2022"/>
      <c r="AU5" s="2022"/>
      <c r="AV5" s="2022"/>
      <c r="AW5" s="2022"/>
      <c r="AX5" s="2022"/>
      <c r="AY5" s="2022"/>
      <c r="AZ5" s="2022"/>
      <c r="BA5" s="2022"/>
      <c r="BB5" s="2022"/>
      <c r="BC5" s="2022"/>
      <c r="BD5" s="2022"/>
      <c r="BE5" s="2022"/>
      <c r="BF5" s="2022"/>
      <c r="BG5" s="2022"/>
      <c r="BH5" s="2022"/>
      <c r="BI5" s="2022"/>
      <c r="BJ5" s="2022"/>
      <c r="BK5" s="2022"/>
      <c r="BL5" s="2022"/>
      <c r="BM5" s="2022"/>
      <c r="BN5" s="2022"/>
      <c r="BO5" s="2022"/>
      <c r="BP5" s="2022"/>
      <c r="BQ5" s="2022"/>
      <c r="BR5" s="2022"/>
      <c r="BS5" s="2022"/>
    </row>
    <row r="6" spans="2:180" s="1799" customFormat="1" ht="18" customHeight="1">
      <c r="B6" s="729"/>
      <c r="E6" s="730"/>
      <c r="F6" s="2082" t="e">
        <f>IF(org=0,"Не определено",org)</f>
        <v>#REF!</v>
      </c>
      <c r="G6" s="2083"/>
      <c r="H6" s="2083"/>
      <c r="I6" s="2083"/>
      <c r="J6" s="2083"/>
      <c r="K6" s="2083"/>
      <c r="L6" s="2083"/>
      <c r="M6" s="2083"/>
      <c r="N6" s="2083"/>
      <c r="O6" s="2083"/>
      <c r="P6" s="2083"/>
      <c r="Q6" s="2083"/>
      <c r="R6" s="2083"/>
      <c r="S6" s="2083"/>
      <c r="T6" s="2083"/>
      <c r="U6" s="2083"/>
      <c r="V6" s="2083"/>
      <c r="W6" s="2083"/>
      <c r="X6" s="2083"/>
      <c r="Y6" s="2083"/>
      <c r="Z6" s="2083"/>
      <c r="AA6" s="2083"/>
      <c r="AB6" s="2083"/>
      <c r="AC6" s="2083"/>
      <c r="AD6" s="2083"/>
      <c r="AE6" s="2083"/>
      <c r="AF6" s="2083"/>
      <c r="AG6" s="2083"/>
      <c r="AH6" s="2083"/>
      <c r="AI6" s="2083"/>
      <c r="AJ6" s="2083"/>
      <c r="AK6" s="2083"/>
      <c r="AL6" s="2083"/>
      <c r="AM6" s="2083"/>
      <c r="AN6" s="2083"/>
      <c r="AO6" s="2083"/>
      <c r="AP6" s="2083"/>
      <c r="AQ6" s="2083"/>
      <c r="AR6" s="2083"/>
      <c r="AS6" s="2083"/>
      <c r="AT6" s="2083"/>
      <c r="AU6" s="2083"/>
      <c r="AV6" s="2083"/>
      <c r="AW6" s="2083"/>
      <c r="AX6" s="2083"/>
      <c r="AY6" s="2083"/>
      <c r="AZ6" s="2083"/>
      <c r="BA6" s="2083"/>
      <c r="BB6" s="2083"/>
      <c r="BC6" s="2083"/>
      <c r="BD6" s="2083"/>
      <c r="BE6" s="2083"/>
      <c r="BF6" s="2083"/>
      <c r="BG6" s="2083"/>
      <c r="BH6" s="2083"/>
      <c r="BI6" s="2083"/>
      <c r="BJ6" s="2083"/>
      <c r="BK6" s="2083"/>
      <c r="BL6" s="2083"/>
      <c r="BM6" s="2083"/>
      <c r="BN6" s="2083"/>
      <c r="BO6" s="2083"/>
      <c r="BP6" s="2083"/>
      <c r="BQ6" s="2083"/>
      <c r="BR6" s="2083"/>
      <c r="BS6" s="2083"/>
    </row>
    <row r="7" spans="2:180" s="1800" customFormat="1" ht="10.5" customHeight="1">
      <c r="B7" s="718"/>
      <c r="E7" s="719"/>
      <c r="F7" s="719"/>
      <c r="G7" s="721"/>
      <c r="H7" s="716"/>
      <c r="I7" s="716"/>
      <c r="J7" s="716"/>
      <c r="K7" s="716"/>
      <c r="L7" s="716"/>
      <c r="M7" s="719"/>
      <c r="N7" s="719"/>
      <c r="O7" s="719"/>
      <c r="P7" s="719"/>
      <c r="Q7" s="719"/>
      <c r="R7" s="719"/>
      <c r="S7" s="719"/>
      <c r="T7" s="719"/>
      <c r="U7" s="719"/>
      <c r="V7" s="719"/>
      <c r="W7" s="719"/>
      <c r="X7" s="719"/>
      <c r="Y7" s="719"/>
      <c r="Z7" s="719"/>
      <c r="AA7" s="719"/>
      <c r="AB7" s="719"/>
      <c r="AC7" s="719"/>
      <c r="AD7" s="719"/>
      <c r="AE7" s="719"/>
      <c r="AF7" s="719"/>
      <c r="AG7" s="719"/>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19"/>
      <c r="BK7" s="719"/>
      <c r="BL7" s="719"/>
      <c r="BM7" s="719"/>
      <c r="BN7" s="719"/>
      <c r="BO7" s="719"/>
      <c r="BP7" s="719"/>
      <c r="BQ7" s="719"/>
      <c r="BR7" s="719"/>
      <c r="BS7" s="719"/>
      <c r="BT7" s="719"/>
      <c r="BU7" s="719"/>
      <c r="BV7" s="719"/>
      <c r="BW7" s="719"/>
      <c r="BX7" s="719"/>
      <c r="BY7" s="719"/>
      <c r="BZ7" s="719"/>
      <c r="CA7" s="719"/>
      <c r="CB7" s="719"/>
      <c r="CC7" s="719"/>
      <c r="CD7" s="719"/>
      <c r="CE7" s="719"/>
      <c r="CF7" s="719"/>
      <c r="CG7" s="719"/>
      <c r="CH7" s="719"/>
      <c r="CI7" s="719"/>
      <c r="CJ7" s="719"/>
      <c r="CK7" s="719"/>
      <c r="CL7" s="719"/>
      <c r="CM7" s="719"/>
      <c r="CN7" s="719"/>
      <c r="CO7" s="719"/>
      <c r="CP7" s="719"/>
      <c r="CQ7" s="719"/>
      <c r="CR7" s="719"/>
      <c r="CS7" s="719"/>
      <c r="CT7" s="719"/>
      <c r="CU7" s="719"/>
      <c r="CV7" s="719"/>
      <c r="CW7" s="719"/>
      <c r="CX7" s="719"/>
      <c r="CY7" s="719"/>
      <c r="CZ7" s="719"/>
      <c r="DA7" s="719"/>
      <c r="DB7" s="719"/>
      <c r="DC7" s="719"/>
      <c r="DD7" s="719"/>
      <c r="DE7" s="719"/>
      <c r="DF7" s="719"/>
      <c r="DG7" s="719"/>
      <c r="DH7" s="719"/>
      <c r="DI7" s="719"/>
      <c r="DJ7" s="719"/>
      <c r="DK7" s="719"/>
      <c r="DL7" s="719"/>
      <c r="DM7" s="719"/>
      <c r="DN7" s="719"/>
      <c r="DO7" s="719"/>
      <c r="DP7" s="719"/>
      <c r="DQ7" s="719"/>
      <c r="DR7" s="719"/>
      <c r="DS7" s="719"/>
      <c r="DT7" s="719"/>
      <c r="DU7" s="719"/>
      <c r="DV7" s="719"/>
      <c r="DW7" s="719"/>
      <c r="DX7" s="719"/>
      <c r="DY7" s="719"/>
      <c r="DZ7" s="719"/>
      <c r="EA7" s="719"/>
      <c r="EB7" s="719"/>
      <c r="EC7" s="719"/>
      <c r="ED7" s="719"/>
      <c r="EE7" s="719"/>
      <c r="EF7" s="719"/>
      <c r="EG7" s="719"/>
      <c r="EH7" s="719"/>
      <c r="EI7" s="719"/>
      <c r="EJ7" s="719"/>
      <c r="EK7" s="719"/>
      <c r="EL7" s="719"/>
      <c r="EM7" s="719"/>
      <c r="EN7" s="719"/>
      <c r="EO7" s="719"/>
      <c r="EP7" s="719"/>
      <c r="EQ7" s="719"/>
      <c r="ER7" s="719"/>
      <c r="ES7" s="719"/>
      <c r="ET7" s="719"/>
      <c r="EU7" s="719"/>
      <c r="EV7" s="719"/>
      <c r="EW7" s="719"/>
      <c r="EX7" s="719"/>
      <c r="EY7" s="719"/>
      <c r="EZ7" s="719"/>
      <c r="FA7" s="719"/>
      <c r="FB7" s="719"/>
      <c r="FC7" s="719"/>
      <c r="FD7" s="719"/>
      <c r="FE7" s="719"/>
      <c r="FF7" s="719"/>
      <c r="FG7" s="719"/>
      <c r="FH7" s="719"/>
      <c r="FI7" s="719"/>
      <c r="FJ7" s="719"/>
      <c r="FK7" s="719"/>
      <c r="FL7" s="719"/>
      <c r="FM7" s="719"/>
      <c r="FN7" s="719"/>
      <c r="FO7" s="719"/>
      <c r="FP7" s="719"/>
      <c r="FQ7" s="719"/>
      <c r="FR7" s="719"/>
      <c r="FS7" s="719"/>
      <c r="FT7" s="719"/>
      <c r="FU7" s="719"/>
      <c r="FV7" s="719"/>
      <c r="FW7" s="719"/>
    </row>
    <row r="8" spans="2:180" s="1801" customFormat="1" ht="11.25" hidden="1" customHeight="1">
      <c r="B8" s="720"/>
      <c r="F8" s="836"/>
      <c r="G8" s="585"/>
      <c r="H8" s="241"/>
      <c r="I8" s="241"/>
      <c r="J8" s="241"/>
      <c r="K8" s="241"/>
      <c r="L8" s="241"/>
      <c r="M8" s="836"/>
      <c r="N8" s="836"/>
      <c r="O8" s="2243" t="s">
        <v>906</v>
      </c>
      <c r="P8" s="2244"/>
      <c r="Q8" s="2244"/>
      <c r="R8" s="2244"/>
      <c r="S8" s="2244"/>
      <c r="T8" s="2244"/>
      <c r="U8" s="2244"/>
      <c r="V8" s="2244"/>
      <c r="W8" s="2244"/>
      <c r="X8" s="2244"/>
      <c r="Y8" s="2244"/>
      <c r="Z8" s="2244"/>
      <c r="AA8" s="2244"/>
      <c r="AB8" s="2244"/>
      <c r="AC8" s="2244"/>
      <c r="AD8" s="2244"/>
      <c r="AE8" s="2244"/>
      <c r="AF8" s="2244"/>
      <c r="AG8" s="2244"/>
      <c r="AH8" s="2244"/>
      <c r="AI8" s="2244"/>
      <c r="AJ8" s="2244"/>
      <c r="AK8" s="2244"/>
      <c r="AL8" s="2244"/>
      <c r="AM8" s="2244"/>
      <c r="AN8" s="2244"/>
      <c r="AO8" s="2244"/>
      <c r="AP8" s="2244"/>
      <c r="AQ8" s="2244"/>
      <c r="AR8" s="2244"/>
      <c r="AS8" s="2244"/>
      <c r="AT8" s="2244"/>
      <c r="AU8" s="2244"/>
      <c r="AV8" s="2244"/>
      <c r="AW8" s="2244"/>
      <c r="AX8" s="2244"/>
      <c r="AY8" s="2244"/>
      <c r="AZ8" s="2244"/>
      <c r="BA8" s="2244"/>
      <c r="BB8" s="2244"/>
      <c r="BC8" s="2244"/>
      <c r="BD8" s="2244"/>
      <c r="BE8" s="2244"/>
      <c r="BF8" s="2244"/>
      <c r="BG8" s="2244"/>
      <c r="BH8" s="2244"/>
      <c r="BI8" s="2244"/>
      <c r="BJ8" s="2244"/>
      <c r="BK8" s="2244"/>
      <c r="BL8" s="2244"/>
      <c r="BM8" s="2244"/>
      <c r="BN8" s="2244"/>
      <c r="BO8" s="2244"/>
      <c r="BP8" s="2244"/>
      <c r="BQ8" s="2244"/>
      <c r="BR8" s="2244"/>
      <c r="BS8" s="2245"/>
      <c r="BT8" s="2246"/>
      <c r="BU8" s="2247"/>
      <c r="BV8" s="2247"/>
      <c r="BW8" s="2247"/>
      <c r="BX8" s="2247"/>
      <c r="BY8" s="2247"/>
      <c r="BZ8" s="2247"/>
      <c r="CA8" s="2247"/>
      <c r="CB8" s="2247"/>
      <c r="CC8" s="2247"/>
      <c r="CD8" s="2247"/>
      <c r="CE8" s="2247"/>
      <c r="CF8" s="2247"/>
      <c r="CG8" s="2247"/>
      <c r="CH8" s="2247"/>
      <c r="CI8" s="2247"/>
      <c r="CJ8" s="2247"/>
      <c r="CK8" s="2247"/>
      <c r="CL8" s="2247"/>
      <c r="CM8" s="2247"/>
      <c r="CN8" s="2247"/>
      <c r="CO8" s="2247"/>
      <c r="CP8" s="2247"/>
      <c r="CQ8" s="2247"/>
      <c r="CR8" s="2247"/>
      <c r="CS8" s="2247"/>
      <c r="CT8" s="2247"/>
      <c r="CU8" s="2247"/>
      <c r="CV8" s="2247"/>
      <c r="CW8" s="2247"/>
      <c r="CX8" s="2248"/>
      <c r="CY8" s="2249"/>
      <c r="CZ8" s="2250"/>
      <c r="DA8" s="2250"/>
      <c r="DB8" s="2250"/>
      <c r="DC8" s="2250"/>
      <c r="DD8" s="2250"/>
      <c r="DE8" s="2250"/>
      <c r="DF8" s="2250"/>
      <c r="DG8" s="2250"/>
      <c r="DH8" s="2250"/>
      <c r="DI8" s="2250"/>
      <c r="DJ8" s="2250"/>
      <c r="DK8" s="2250"/>
      <c r="DL8" s="2250"/>
      <c r="DM8" s="2250"/>
      <c r="DN8" s="2250"/>
      <c r="DO8" s="2250"/>
      <c r="DP8" s="2250"/>
      <c r="DQ8" s="2250"/>
      <c r="DR8" s="2250"/>
      <c r="DS8" s="2250"/>
      <c r="DT8" s="2250"/>
      <c r="DU8" s="2250"/>
      <c r="DV8" s="2250"/>
      <c r="DW8" s="2250"/>
      <c r="DX8" s="2251"/>
      <c r="DY8" s="2237" t="s">
        <v>907</v>
      </c>
      <c r="DZ8" s="2238"/>
      <c r="EA8" s="2238"/>
      <c r="EB8" s="2238"/>
      <c r="EC8" s="2238"/>
      <c r="ED8" s="2238"/>
      <c r="EE8" s="2238"/>
      <c r="EF8" s="2238"/>
      <c r="EG8" s="2238"/>
      <c r="EH8" s="2238"/>
      <c r="EI8" s="2238"/>
      <c r="EJ8" s="2238"/>
      <c r="EK8" s="2238"/>
      <c r="EL8" s="2238"/>
      <c r="EM8" s="2238"/>
      <c r="EN8" s="2238"/>
      <c r="EO8" s="2238"/>
      <c r="EP8" s="2238"/>
      <c r="EQ8" s="2238"/>
      <c r="ER8" s="2238"/>
      <c r="ES8" s="2238"/>
      <c r="ET8" s="2238"/>
      <c r="EU8" s="2238"/>
      <c r="EV8" s="2238"/>
      <c r="EW8" s="2238"/>
      <c r="EX8" s="2238"/>
      <c r="EY8" s="2238"/>
      <c r="EZ8" s="2238"/>
      <c r="FA8" s="2238"/>
      <c r="FB8" s="2238"/>
      <c r="FC8" s="2238"/>
      <c r="FD8" s="2238"/>
      <c r="FE8" s="2238"/>
      <c r="FF8" s="2238"/>
      <c r="FG8" s="2238"/>
      <c r="FH8" s="2238"/>
      <c r="FI8" s="2238"/>
      <c r="FJ8" s="2238"/>
      <c r="FK8" s="2238"/>
      <c r="FL8" s="2238"/>
      <c r="FM8" s="2238"/>
      <c r="FN8" s="2238"/>
      <c r="FO8" s="2238"/>
      <c r="FP8" s="2238"/>
      <c r="FQ8" s="2238"/>
      <c r="FR8" s="2238"/>
      <c r="FS8" s="2238"/>
      <c r="FT8" s="2238"/>
      <c r="FU8" s="2238"/>
      <c r="FV8" s="2238"/>
      <c r="FW8" s="2239"/>
      <c r="FX8" s="836"/>
    </row>
    <row r="9" spans="2:180" s="1801" customFormat="1" ht="11.25" hidden="1" customHeight="1">
      <c r="B9" s="720"/>
      <c r="F9" s="836"/>
      <c r="G9" s="585"/>
      <c r="H9" s="241"/>
      <c r="I9" s="241"/>
      <c r="J9" s="241"/>
      <c r="K9" s="241"/>
      <c r="L9" s="241"/>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6"/>
      <c r="AY9" s="836"/>
      <c r="AZ9" s="836"/>
      <c r="BA9" s="836"/>
      <c r="BB9" s="836"/>
      <c r="BC9" s="836"/>
      <c r="BD9" s="836"/>
      <c r="BE9" s="836"/>
      <c r="BF9" s="836"/>
      <c r="BG9" s="836"/>
      <c r="BH9" s="836"/>
      <c r="BI9" s="836"/>
      <c r="BJ9" s="836"/>
      <c r="BK9" s="836"/>
      <c r="BL9" s="836"/>
      <c r="BM9" s="836"/>
      <c r="BN9" s="836"/>
      <c r="BO9" s="836"/>
      <c r="BP9" s="836"/>
      <c r="BQ9" s="836"/>
      <c r="BR9" s="836"/>
      <c r="BS9" s="836"/>
      <c r="BT9" s="836"/>
      <c r="BU9" s="836"/>
      <c r="BV9" s="836"/>
      <c r="BW9" s="836"/>
      <c r="BX9" s="836"/>
      <c r="BY9" s="836"/>
      <c r="BZ9" s="836"/>
      <c r="CA9" s="836"/>
      <c r="CB9" s="836"/>
      <c r="CC9" s="836"/>
      <c r="CD9" s="836"/>
      <c r="CE9" s="836"/>
      <c r="CF9" s="836"/>
      <c r="CG9" s="836"/>
      <c r="CH9" s="836"/>
      <c r="CI9" s="836"/>
      <c r="CJ9" s="836"/>
      <c r="CK9" s="836"/>
      <c r="CL9" s="836"/>
      <c r="CM9" s="836"/>
      <c r="CN9" s="836"/>
      <c r="CO9" s="836"/>
      <c r="CP9" s="836"/>
      <c r="CQ9" s="836"/>
      <c r="CR9" s="836"/>
      <c r="CS9" s="836"/>
      <c r="CT9" s="836"/>
      <c r="CU9" s="836"/>
      <c r="CV9" s="836"/>
      <c r="CW9" s="836"/>
      <c r="CX9" s="836"/>
      <c r="CY9" s="836"/>
      <c r="CZ9" s="836"/>
      <c r="DA9" s="836"/>
      <c r="DB9" s="836"/>
      <c r="DC9" s="836"/>
      <c r="DD9" s="836"/>
      <c r="DE9" s="836"/>
      <c r="DF9" s="836"/>
      <c r="DG9" s="836"/>
      <c r="DH9" s="836"/>
      <c r="DI9" s="836"/>
      <c r="DJ9" s="836"/>
      <c r="DK9" s="836"/>
      <c r="DL9" s="836"/>
      <c r="DM9" s="836"/>
      <c r="DN9" s="836"/>
      <c r="DO9" s="836"/>
      <c r="DP9" s="836"/>
      <c r="DQ9" s="836"/>
      <c r="DR9" s="836"/>
      <c r="DS9" s="836"/>
      <c r="DT9" s="836"/>
      <c r="DU9" s="836"/>
      <c r="DV9" s="836"/>
      <c r="DW9" s="836"/>
      <c r="DX9" s="836"/>
      <c r="DY9" s="836"/>
      <c r="DZ9" s="836"/>
      <c r="EA9" s="836"/>
      <c r="EB9" s="836"/>
      <c r="EC9" s="836"/>
      <c r="ED9" s="836"/>
      <c r="EE9" s="836"/>
      <c r="EF9" s="836"/>
      <c r="EG9" s="836"/>
      <c r="EH9" s="836"/>
      <c r="EI9" s="836"/>
      <c r="EJ9" s="836"/>
      <c r="EK9" s="836"/>
      <c r="EL9" s="836"/>
      <c r="EM9" s="836"/>
      <c r="EN9" s="836"/>
      <c r="EO9" s="836"/>
      <c r="EP9" s="836"/>
      <c r="EQ9" s="836"/>
      <c r="ER9" s="836"/>
      <c r="ES9" s="836"/>
      <c r="ET9" s="836"/>
      <c r="EU9" s="836"/>
      <c r="EV9" s="836"/>
      <c r="EW9" s="836"/>
      <c r="EX9" s="836"/>
      <c r="EY9" s="836"/>
      <c r="EZ9" s="836"/>
      <c r="FA9" s="836"/>
      <c r="FB9" s="836"/>
      <c r="FC9" s="836"/>
      <c r="FD9" s="836"/>
      <c r="FE9" s="836"/>
      <c r="FF9" s="836"/>
      <c r="FG9" s="836"/>
      <c r="FH9" s="836"/>
      <c r="FI9" s="836"/>
      <c r="FJ9" s="836"/>
      <c r="FK9" s="836"/>
      <c r="FL9" s="836"/>
      <c r="FM9" s="836"/>
      <c r="FN9" s="836"/>
      <c r="FO9" s="836"/>
      <c r="FP9" s="836"/>
      <c r="FQ9" s="836"/>
      <c r="FR9" s="836"/>
      <c r="FS9" s="836"/>
      <c r="FT9" s="836"/>
      <c r="FU9" s="836"/>
      <c r="FV9" s="836"/>
      <c r="FW9" s="2240"/>
      <c r="FX9" s="836"/>
    </row>
    <row r="10" spans="2:180" s="1801" customFormat="1" ht="11.25" customHeight="1">
      <c r="B10" s="720"/>
      <c r="F10" s="2213" t="s">
        <v>224</v>
      </c>
      <c r="G10" s="2253"/>
      <c r="H10" s="2253"/>
      <c r="I10" s="2253"/>
      <c r="J10" s="2253"/>
      <c r="K10" s="2253"/>
      <c r="L10" s="2253"/>
      <c r="M10" s="2253"/>
      <c r="N10" s="2253"/>
      <c r="O10" s="2253"/>
      <c r="P10" s="2253"/>
      <c r="Q10" s="2253"/>
      <c r="R10" s="2253"/>
      <c r="S10" s="2253"/>
      <c r="T10" s="2253"/>
      <c r="U10" s="2253"/>
      <c r="V10" s="2253"/>
      <c r="W10" s="2253"/>
      <c r="X10" s="2253"/>
      <c r="Y10" s="2253"/>
      <c r="Z10" s="2253"/>
      <c r="AA10" s="2253"/>
      <c r="AB10" s="2253"/>
      <c r="AC10" s="2253"/>
      <c r="AD10" s="2253"/>
      <c r="AE10" s="2253"/>
      <c r="AF10" s="2253"/>
      <c r="AG10" s="2253"/>
      <c r="AH10" s="2253"/>
      <c r="AI10" s="2253"/>
      <c r="AJ10" s="2253"/>
      <c r="AK10" s="2253"/>
      <c r="AL10" s="2253"/>
      <c r="AM10" s="2253"/>
      <c r="AN10" s="2253"/>
      <c r="AO10" s="2253"/>
      <c r="AP10" s="2253"/>
      <c r="AQ10" s="2253"/>
      <c r="AR10" s="2253"/>
      <c r="AS10" s="2253"/>
      <c r="AT10" s="2253"/>
      <c r="AU10" s="2253"/>
      <c r="AV10" s="2253"/>
      <c r="AW10" s="2253"/>
      <c r="AX10" s="2253"/>
      <c r="AY10" s="2253"/>
      <c r="AZ10" s="2253"/>
      <c r="BA10" s="2253"/>
      <c r="BB10" s="2253"/>
      <c r="BC10" s="2253"/>
      <c r="BD10" s="2253"/>
      <c r="BE10" s="2253"/>
      <c r="BF10" s="2253"/>
      <c r="BG10" s="2253"/>
      <c r="BH10" s="2253"/>
      <c r="BI10" s="2253"/>
      <c r="BJ10" s="2253"/>
      <c r="BK10" s="2253"/>
      <c r="BL10" s="2253"/>
      <c r="BM10" s="2253"/>
      <c r="BN10" s="2253"/>
      <c r="BO10" s="2253"/>
      <c r="BP10" s="2253"/>
      <c r="BQ10" s="2253"/>
      <c r="BR10" s="2253"/>
      <c r="BS10" s="2253"/>
      <c r="BT10" s="2253"/>
      <c r="BU10" s="2253"/>
      <c r="BV10" s="2253"/>
      <c r="BW10" s="2253"/>
      <c r="BX10" s="2253"/>
      <c r="BY10" s="2253"/>
      <c r="BZ10" s="2253"/>
      <c r="CA10" s="2253"/>
      <c r="CB10" s="2253"/>
      <c r="CC10" s="2253"/>
      <c r="CD10" s="2253"/>
      <c r="CE10" s="2253"/>
      <c r="CF10" s="2253"/>
      <c r="CG10" s="2253"/>
      <c r="CH10" s="2253"/>
      <c r="CI10" s="2253"/>
      <c r="CJ10" s="2253"/>
      <c r="CK10" s="2253"/>
      <c r="CL10" s="2253"/>
      <c r="CM10" s="2253"/>
      <c r="CN10" s="2253"/>
      <c r="CO10" s="2253"/>
      <c r="CP10" s="2253"/>
      <c r="CQ10" s="2253"/>
      <c r="CR10" s="2253"/>
      <c r="CS10" s="2253"/>
      <c r="CT10" s="2253"/>
      <c r="CU10" s="2253"/>
      <c r="CV10" s="2253"/>
      <c r="CW10" s="2253"/>
      <c r="CX10" s="2253"/>
      <c r="CY10" s="2253"/>
      <c r="CZ10" s="2253"/>
      <c r="DA10" s="2253"/>
      <c r="DB10" s="2253"/>
      <c r="DC10" s="2253"/>
      <c r="DD10" s="2253"/>
      <c r="DE10" s="2253"/>
      <c r="DF10" s="2253"/>
      <c r="DG10" s="2253"/>
      <c r="DH10" s="2253"/>
      <c r="DI10" s="2253"/>
      <c r="DJ10" s="2253"/>
      <c r="DK10" s="2253"/>
      <c r="DL10" s="2253"/>
      <c r="DM10" s="2253"/>
      <c r="DN10" s="2253"/>
      <c r="DO10" s="2253"/>
      <c r="DP10" s="2253"/>
      <c r="DQ10" s="2253"/>
      <c r="DR10" s="2253"/>
      <c r="DS10" s="2253"/>
      <c r="DT10" s="2253"/>
      <c r="DU10" s="2253"/>
      <c r="DV10" s="2253"/>
      <c r="DW10" s="2253"/>
      <c r="DX10" s="2253"/>
      <c r="DY10" s="2253"/>
      <c r="DZ10" s="2253"/>
      <c r="EA10" s="2253"/>
      <c r="EB10" s="2253"/>
      <c r="EC10" s="2253"/>
      <c r="ED10" s="2253"/>
      <c r="EE10" s="2253"/>
      <c r="EF10" s="2253"/>
      <c r="EG10" s="2253"/>
      <c r="EH10" s="2253"/>
      <c r="EI10" s="2253"/>
      <c r="EJ10" s="2253"/>
      <c r="EK10" s="2253"/>
      <c r="EL10" s="2253"/>
      <c r="EM10" s="2253"/>
      <c r="EN10" s="2253"/>
      <c r="EO10" s="2253"/>
      <c r="EP10" s="2253"/>
      <c r="EQ10" s="2253"/>
      <c r="ER10" s="2253"/>
      <c r="ES10" s="2253"/>
      <c r="ET10" s="2253"/>
      <c r="EU10" s="2253"/>
      <c r="EV10" s="2253"/>
      <c r="EW10" s="2253"/>
      <c r="EX10" s="2253"/>
      <c r="EY10" s="2253"/>
      <c r="EZ10" s="2253"/>
      <c r="FA10" s="2253"/>
      <c r="FB10" s="2253"/>
      <c r="FC10" s="2253"/>
      <c r="FD10" s="2253"/>
      <c r="FE10" s="2253"/>
      <c r="FF10" s="2253"/>
      <c r="FG10" s="2253"/>
      <c r="FH10" s="2253"/>
      <c r="FI10" s="2253"/>
      <c r="FJ10" s="2253"/>
      <c r="FK10" s="2253"/>
      <c r="FL10" s="2253"/>
      <c r="FM10" s="2253"/>
      <c r="FN10" s="2253"/>
      <c r="FO10" s="2253"/>
      <c r="FP10" s="2253"/>
      <c r="FQ10" s="2253"/>
      <c r="FR10" s="2253"/>
      <c r="FS10" s="2253"/>
      <c r="FT10" s="2253"/>
      <c r="FU10" s="2253"/>
      <c r="FV10" s="2254"/>
      <c r="FW10" s="2240"/>
      <c r="FX10" s="836"/>
    </row>
    <row r="11" spans="2:180" ht="12" customHeight="1">
      <c r="E11" s="722"/>
      <c r="F11" s="2063" t="s">
        <v>22</v>
      </c>
      <c r="G11" s="2063" t="s">
        <v>908</v>
      </c>
      <c r="H11" s="2063" t="s">
        <v>909</v>
      </c>
      <c r="I11" s="2063" t="s">
        <v>910</v>
      </c>
      <c r="J11" s="2252"/>
      <c r="K11" s="2252"/>
      <c r="L11" s="2252"/>
      <c r="M11" s="2252"/>
      <c r="N11" s="2252"/>
      <c r="O11" s="2068" t="s">
        <v>911</v>
      </c>
      <c r="P11" s="2068"/>
      <c r="Q11" s="2068"/>
      <c r="R11" s="2068"/>
      <c r="S11" s="2068"/>
      <c r="T11" s="2068"/>
      <c r="U11" s="2068"/>
      <c r="V11" s="2068"/>
      <c r="W11" s="2068"/>
      <c r="X11" s="2068"/>
      <c r="Y11" s="2068"/>
      <c r="Z11" s="2068"/>
      <c r="AA11" s="2068"/>
      <c r="AB11" s="2068"/>
      <c r="AC11" s="2234"/>
      <c r="AD11" s="2234"/>
      <c r="AE11" s="2234"/>
      <c r="AF11" s="2234"/>
      <c r="AG11" s="2234"/>
      <c r="AH11" s="2234"/>
      <c r="AI11" s="2234"/>
      <c r="AJ11" s="2234"/>
      <c r="AK11" s="2234"/>
      <c r="AL11" s="2234"/>
      <c r="AM11" s="2234"/>
      <c r="AN11" s="2234"/>
      <c r="AO11" s="2234"/>
      <c r="AP11" s="2234"/>
      <c r="AQ11" s="2234"/>
      <c r="AR11" s="2234"/>
      <c r="AS11" s="2234"/>
      <c r="AT11" s="2234"/>
      <c r="AU11" s="2234"/>
      <c r="AV11" s="2234"/>
      <c r="AW11" s="2234"/>
      <c r="AX11" s="2234"/>
      <c r="AY11" s="2234"/>
      <c r="AZ11" s="2234"/>
      <c r="BA11" s="2234"/>
      <c r="BB11" s="2234"/>
      <c r="BC11" s="2234"/>
      <c r="BD11" s="2234"/>
      <c r="BE11" s="2234"/>
      <c r="BF11" s="2234"/>
      <c r="BG11" s="2234"/>
      <c r="BH11" s="2234"/>
      <c r="BI11" s="2234"/>
      <c r="BJ11" s="2234"/>
      <c r="BK11" s="2234"/>
      <c r="BL11" s="2234"/>
      <c r="BM11" s="2234"/>
      <c r="BN11" s="2234"/>
      <c r="BO11" s="2234"/>
      <c r="BP11" s="2234"/>
      <c r="BQ11" s="2234"/>
      <c r="BR11" s="2234"/>
      <c r="BS11" s="2235"/>
      <c r="BT11" s="2232" t="s">
        <v>911</v>
      </c>
      <c r="BU11" s="2236"/>
      <c r="BV11" s="2236"/>
      <c r="BW11" s="2236"/>
      <c r="BX11" s="2236"/>
      <c r="BY11" s="2236"/>
      <c r="BZ11" s="2236"/>
      <c r="CA11" s="2236"/>
      <c r="CB11" s="2236"/>
      <c r="CC11" s="2236"/>
      <c r="CD11" s="2236"/>
      <c r="CE11" s="2236"/>
      <c r="CF11" s="2236"/>
      <c r="CG11" s="2236"/>
      <c r="CH11" s="2236"/>
      <c r="CI11" s="2236"/>
      <c r="CJ11" s="2236"/>
      <c r="CK11" s="2233"/>
      <c r="CL11" s="2242"/>
      <c r="CM11" s="2234"/>
      <c r="CN11" s="2234"/>
      <c r="CO11" s="2234"/>
      <c r="CP11" s="2234"/>
      <c r="CQ11" s="2234"/>
      <c r="CR11" s="2234"/>
      <c r="CS11" s="2234"/>
      <c r="CT11" s="2234"/>
      <c r="CU11" s="2234"/>
      <c r="CV11" s="2234"/>
      <c r="CW11" s="2234"/>
      <c r="CX11" s="2235"/>
      <c r="CY11" s="2232" t="s">
        <v>911</v>
      </c>
      <c r="CZ11" s="2236"/>
      <c r="DA11" s="2236"/>
      <c r="DB11" s="2236"/>
      <c r="DC11" s="2236"/>
      <c r="DD11" s="2236"/>
      <c r="DE11" s="2236"/>
      <c r="DF11" s="2236"/>
      <c r="DG11" s="2236"/>
      <c r="DH11" s="2236"/>
      <c r="DI11" s="2236"/>
      <c r="DJ11" s="2233"/>
      <c r="DK11" s="2242"/>
      <c r="DL11" s="2234"/>
      <c r="DM11" s="2234"/>
      <c r="DN11" s="2234"/>
      <c r="DO11" s="2234"/>
      <c r="DP11" s="2234"/>
      <c r="DQ11" s="2234"/>
      <c r="DR11" s="2234"/>
      <c r="DS11" s="2234"/>
      <c r="DT11" s="2234"/>
      <c r="DU11" s="2234"/>
      <c r="DV11" s="2234"/>
      <c r="DW11" s="2234"/>
      <c r="DX11" s="2234"/>
      <c r="DY11" s="2234"/>
      <c r="DZ11" s="2234"/>
      <c r="EA11" s="2234"/>
      <c r="EB11" s="2234"/>
      <c r="EC11" s="2234"/>
      <c r="ED11" s="2234"/>
      <c r="EE11" s="2234"/>
      <c r="EF11" s="2234"/>
      <c r="EG11" s="2234"/>
      <c r="EH11" s="2234"/>
      <c r="EI11" s="2234"/>
      <c r="EJ11" s="2234"/>
      <c r="EK11" s="2234"/>
      <c r="EL11" s="2234"/>
      <c r="EM11" s="2234"/>
      <c r="EN11" s="2234"/>
      <c r="EO11" s="2234"/>
      <c r="EP11" s="2234"/>
      <c r="EQ11" s="2234"/>
      <c r="ER11" s="2234"/>
      <c r="ES11" s="2234"/>
      <c r="ET11" s="2234"/>
      <c r="EU11" s="2234"/>
      <c r="EV11" s="2234"/>
      <c r="EW11" s="2234"/>
      <c r="EX11" s="2234"/>
      <c r="EY11" s="2234"/>
      <c r="EZ11" s="2234"/>
      <c r="FA11" s="2234"/>
      <c r="FB11" s="2234"/>
      <c r="FC11" s="2234"/>
      <c r="FD11" s="2234"/>
      <c r="FE11" s="2234"/>
      <c r="FF11" s="2234"/>
      <c r="FG11" s="2234"/>
      <c r="FH11" s="2234"/>
      <c r="FI11" s="2234"/>
      <c r="FJ11" s="2234"/>
      <c r="FK11" s="2234"/>
      <c r="FL11" s="2234"/>
      <c r="FM11" s="2234"/>
      <c r="FN11" s="2234"/>
      <c r="FO11" s="2234"/>
      <c r="FP11" s="2234"/>
      <c r="FQ11" s="2234"/>
      <c r="FR11" s="2234"/>
      <c r="FS11" s="2234"/>
      <c r="FT11" s="2234"/>
      <c r="FU11" s="2234"/>
      <c r="FV11" s="2234"/>
      <c r="FW11" s="2240"/>
      <c r="FX11" s="584"/>
    </row>
    <row r="12" spans="2:180" ht="12" customHeight="1">
      <c r="D12" s="723"/>
      <c r="E12" s="722"/>
      <c r="F12" s="2063"/>
      <c r="G12" s="2063"/>
      <c r="H12" s="2063"/>
      <c r="I12" s="2063"/>
      <c r="J12" s="2252"/>
      <c r="K12" s="2252"/>
      <c r="L12" s="2252"/>
      <c r="M12" s="2252"/>
      <c r="N12" s="2252"/>
      <c r="O12" s="2068" t="s">
        <v>912</v>
      </c>
      <c r="P12" s="2068"/>
      <c r="Q12" s="2068"/>
      <c r="R12" s="2068"/>
      <c r="S12" s="2068" t="s">
        <v>913</v>
      </c>
      <c r="T12" s="2068"/>
      <c r="U12" s="2068"/>
      <c r="V12" s="2068"/>
      <c r="W12" s="2068"/>
      <c r="X12" s="2068"/>
      <c r="Y12" s="2068"/>
      <c r="Z12" s="2068"/>
      <c r="AA12" s="2068"/>
      <c r="AB12" s="2068"/>
      <c r="AC12" s="2234"/>
      <c r="AD12" s="2234"/>
      <c r="AE12" s="2234"/>
      <c r="AF12" s="2234"/>
      <c r="AG12" s="2234"/>
      <c r="AH12" s="2234"/>
      <c r="AI12" s="2234"/>
      <c r="AJ12" s="2234"/>
      <c r="AK12" s="2234"/>
      <c r="AL12" s="2234"/>
      <c r="AM12" s="2234"/>
      <c r="AN12" s="2234"/>
      <c r="AO12" s="2234"/>
      <c r="AP12" s="2234"/>
      <c r="AQ12" s="2234"/>
      <c r="AR12" s="2234"/>
      <c r="AS12" s="2234"/>
      <c r="AT12" s="2234"/>
      <c r="AU12" s="2234"/>
      <c r="AV12" s="2234"/>
      <c r="AW12" s="2234"/>
      <c r="AX12" s="2234"/>
      <c r="AY12" s="2234"/>
      <c r="AZ12" s="2234"/>
      <c r="BA12" s="2234"/>
      <c r="BB12" s="2234"/>
      <c r="BC12" s="2234"/>
      <c r="BD12" s="2234"/>
      <c r="BE12" s="2234"/>
      <c r="BF12" s="2234"/>
      <c r="BG12" s="2234"/>
      <c r="BH12" s="2234"/>
      <c r="BI12" s="2234"/>
      <c r="BJ12" s="2234"/>
      <c r="BK12" s="2234"/>
      <c r="BL12" s="2234"/>
      <c r="BM12" s="2234"/>
      <c r="BN12" s="2234"/>
      <c r="BO12" s="2234"/>
      <c r="BP12" s="2234"/>
      <c r="BQ12" s="2234"/>
      <c r="BR12" s="2234"/>
      <c r="BS12" s="2235"/>
      <c r="BT12" s="2232" t="s">
        <v>914</v>
      </c>
      <c r="BU12" s="2236"/>
      <c r="BV12" s="2236"/>
      <c r="BW12" s="2233"/>
      <c r="BX12" s="2232" t="s">
        <v>915</v>
      </c>
      <c r="BY12" s="2236"/>
      <c r="BZ12" s="2236"/>
      <c r="CA12" s="2233"/>
      <c r="CB12" s="2232" t="s">
        <v>916</v>
      </c>
      <c r="CC12" s="2233"/>
      <c r="CD12" s="2232" t="s">
        <v>917</v>
      </c>
      <c r="CE12" s="2236"/>
      <c r="CF12" s="2236"/>
      <c r="CG12" s="2236"/>
      <c r="CH12" s="2236"/>
      <c r="CI12" s="2236"/>
      <c r="CJ12" s="2236"/>
      <c r="CK12" s="2233"/>
      <c r="CL12" s="2242"/>
      <c r="CM12" s="2234"/>
      <c r="CN12" s="2234"/>
      <c r="CO12" s="2234"/>
      <c r="CP12" s="2234"/>
      <c r="CQ12" s="2234"/>
      <c r="CR12" s="2234"/>
      <c r="CS12" s="2234"/>
      <c r="CT12" s="2234"/>
      <c r="CU12" s="2234"/>
      <c r="CV12" s="2234"/>
      <c r="CW12" s="2234"/>
      <c r="CX12" s="2235"/>
      <c r="CY12" s="2232" t="s">
        <v>918</v>
      </c>
      <c r="CZ12" s="2236"/>
      <c r="DA12" s="2236"/>
      <c r="DB12" s="2236"/>
      <c r="DC12" s="2236"/>
      <c r="DD12" s="2233"/>
      <c r="DE12" s="2232" t="s">
        <v>919</v>
      </c>
      <c r="DF12" s="2233"/>
      <c r="DG12" s="2232" t="s">
        <v>917</v>
      </c>
      <c r="DH12" s="2236"/>
      <c r="DI12" s="2236"/>
      <c r="DJ12" s="2233"/>
      <c r="DK12" s="2242"/>
      <c r="DL12" s="2234"/>
      <c r="DM12" s="2234"/>
      <c r="DN12" s="2234"/>
      <c r="DO12" s="2234"/>
      <c r="DP12" s="2234"/>
      <c r="DQ12" s="2234"/>
      <c r="DR12" s="2234"/>
      <c r="DS12" s="2234"/>
      <c r="DT12" s="2234"/>
      <c r="DU12" s="2234"/>
      <c r="DV12" s="2234"/>
      <c r="DW12" s="2234"/>
      <c r="DX12" s="2234"/>
      <c r="DY12" s="2234"/>
      <c r="DZ12" s="2234"/>
      <c r="EA12" s="2234"/>
      <c r="EB12" s="2234"/>
      <c r="EC12" s="2234"/>
      <c r="ED12" s="2234"/>
      <c r="EE12" s="2234"/>
      <c r="EF12" s="2234"/>
      <c r="EG12" s="2234"/>
      <c r="EH12" s="2234"/>
      <c r="EI12" s="2234"/>
      <c r="EJ12" s="2234"/>
      <c r="EK12" s="2234"/>
      <c r="EL12" s="2234"/>
      <c r="EM12" s="2234"/>
      <c r="EN12" s="2234"/>
      <c r="EO12" s="2234"/>
      <c r="EP12" s="2234"/>
      <c r="EQ12" s="2234"/>
      <c r="ER12" s="2234"/>
      <c r="ES12" s="2234"/>
      <c r="ET12" s="2234"/>
      <c r="EU12" s="2234"/>
      <c r="EV12" s="2234"/>
      <c r="EW12" s="2234"/>
      <c r="EX12" s="2234"/>
      <c r="EY12" s="2234"/>
      <c r="EZ12" s="2234"/>
      <c r="FA12" s="2234"/>
      <c r="FB12" s="2234"/>
      <c r="FC12" s="2234"/>
      <c r="FD12" s="2234"/>
      <c r="FE12" s="2234"/>
      <c r="FF12" s="2234"/>
      <c r="FG12" s="2234"/>
      <c r="FH12" s="2234"/>
      <c r="FI12" s="2234"/>
      <c r="FJ12" s="2234"/>
      <c r="FK12" s="2234"/>
      <c r="FL12" s="2234"/>
      <c r="FM12" s="2234"/>
      <c r="FN12" s="2234"/>
      <c r="FO12" s="2234"/>
      <c r="FP12" s="2234"/>
      <c r="FQ12" s="2234"/>
      <c r="FR12" s="2234"/>
      <c r="FS12" s="2234"/>
      <c r="FT12" s="2234"/>
      <c r="FU12" s="2234"/>
      <c r="FV12" s="2234"/>
      <c r="FW12" s="2240"/>
      <c r="FX12" s="584"/>
    </row>
    <row r="13" spans="2:180" ht="36" customHeight="1">
      <c r="D13" s="723"/>
      <c r="E13" s="722"/>
      <c r="F13" s="2063"/>
      <c r="G13" s="2063"/>
      <c r="H13" s="2063"/>
      <c r="I13" s="2063"/>
      <c r="J13" s="2252"/>
      <c r="K13" s="2252"/>
      <c r="L13" s="2252"/>
      <c r="M13" s="2252"/>
      <c r="N13" s="2252"/>
      <c r="O13" s="2068" t="s">
        <v>920</v>
      </c>
      <c r="P13" s="2068"/>
      <c r="Q13" s="2068"/>
      <c r="R13" s="2068"/>
      <c r="S13" s="2166" t="s">
        <v>921</v>
      </c>
      <c r="T13" s="2218"/>
      <c r="U13" s="2025" t="s">
        <v>922</v>
      </c>
      <c r="V13" s="2025"/>
      <c r="W13" s="2025"/>
      <c r="X13" s="2025"/>
      <c r="Y13" s="2025" t="s">
        <v>923</v>
      </c>
      <c r="Z13" s="2025"/>
      <c r="AA13" s="2025"/>
      <c r="AB13" s="2025"/>
      <c r="AC13" s="2234"/>
      <c r="AD13" s="2234"/>
      <c r="AE13" s="2234"/>
      <c r="AF13" s="2234"/>
      <c r="AG13" s="2234"/>
      <c r="AH13" s="2234"/>
      <c r="AI13" s="2234"/>
      <c r="AJ13" s="2234"/>
      <c r="AK13" s="2234"/>
      <c r="AL13" s="2234"/>
      <c r="AM13" s="2234"/>
      <c r="AN13" s="2234"/>
      <c r="AO13" s="2234"/>
      <c r="AP13" s="2234"/>
      <c r="AQ13" s="2234"/>
      <c r="AR13" s="2234"/>
      <c r="AS13" s="2234"/>
      <c r="AT13" s="2234"/>
      <c r="AU13" s="2234"/>
      <c r="AV13" s="2234"/>
      <c r="AW13" s="2234"/>
      <c r="AX13" s="2234"/>
      <c r="AY13" s="2234"/>
      <c r="AZ13" s="2234"/>
      <c r="BA13" s="2234"/>
      <c r="BB13" s="2234"/>
      <c r="BC13" s="2234"/>
      <c r="BD13" s="2234"/>
      <c r="BE13" s="2234"/>
      <c r="BF13" s="2234"/>
      <c r="BG13" s="2234"/>
      <c r="BH13" s="2234"/>
      <c r="BI13" s="2234"/>
      <c r="BJ13" s="2234"/>
      <c r="BK13" s="2234"/>
      <c r="BL13" s="2234"/>
      <c r="BM13" s="2234"/>
      <c r="BN13" s="2234"/>
      <c r="BO13" s="2234"/>
      <c r="BP13" s="2234"/>
      <c r="BQ13" s="2234"/>
      <c r="BR13" s="2234"/>
      <c r="BS13" s="2235"/>
      <c r="BT13" s="2166" t="s">
        <v>924</v>
      </c>
      <c r="BU13" s="2218"/>
      <c r="BV13" s="2166" t="s">
        <v>925</v>
      </c>
      <c r="BW13" s="2218"/>
      <c r="BX13" s="2166" t="s">
        <v>926</v>
      </c>
      <c r="BY13" s="2218"/>
      <c r="BZ13" s="2166" t="s">
        <v>927</v>
      </c>
      <c r="CA13" s="2218"/>
      <c r="CB13" s="2166" t="s">
        <v>928</v>
      </c>
      <c r="CC13" s="2218"/>
      <c r="CD13" s="2166" t="s">
        <v>929</v>
      </c>
      <c r="CE13" s="2218"/>
      <c r="CF13" s="2166" t="s">
        <v>930</v>
      </c>
      <c r="CG13" s="2218"/>
      <c r="CH13" s="2232" t="s">
        <v>931</v>
      </c>
      <c r="CI13" s="2236"/>
      <c r="CJ13" s="2236"/>
      <c r="CK13" s="2233"/>
      <c r="CL13" s="2242"/>
      <c r="CM13" s="2234"/>
      <c r="CN13" s="2234"/>
      <c r="CO13" s="2234"/>
      <c r="CP13" s="2234"/>
      <c r="CQ13" s="2234"/>
      <c r="CR13" s="2234"/>
      <c r="CS13" s="2234"/>
      <c r="CT13" s="2234"/>
      <c r="CU13" s="2234"/>
      <c r="CV13" s="2234"/>
      <c r="CW13" s="2234"/>
      <c r="CX13" s="2235"/>
      <c r="CY13" s="2166" t="s">
        <v>932</v>
      </c>
      <c r="CZ13" s="2218"/>
      <c r="DA13" s="2166" t="s">
        <v>933</v>
      </c>
      <c r="DB13" s="2218"/>
      <c r="DC13" s="2166" t="s">
        <v>934</v>
      </c>
      <c r="DD13" s="2218"/>
      <c r="DE13" s="2166" t="s">
        <v>935</v>
      </c>
      <c r="DF13" s="2218"/>
      <c r="DG13" s="2232" t="s">
        <v>936</v>
      </c>
      <c r="DH13" s="2236"/>
      <c r="DI13" s="2236"/>
      <c r="DJ13" s="2233"/>
      <c r="DK13" s="2242"/>
      <c r="DL13" s="2234"/>
      <c r="DM13" s="2234"/>
      <c r="DN13" s="2234"/>
      <c r="DO13" s="2234"/>
      <c r="DP13" s="2234"/>
      <c r="DQ13" s="2234"/>
      <c r="DR13" s="2234"/>
      <c r="DS13" s="2234"/>
      <c r="DT13" s="2234"/>
      <c r="DU13" s="2234"/>
      <c r="DV13" s="2234"/>
      <c r="DW13" s="2234"/>
      <c r="DX13" s="2234"/>
      <c r="DY13" s="2234"/>
      <c r="DZ13" s="2234"/>
      <c r="EA13" s="2234"/>
      <c r="EB13" s="2234"/>
      <c r="EC13" s="2234"/>
      <c r="ED13" s="2234"/>
      <c r="EE13" s="2234"/>
      <c r="EF13" s="2234"/>
      <c r="EG13" s="2234"/>
      <c r="EH13" s="2234"/>
      <c r="EI13" s="2234"/>
      <c r="EJ13" s="2234"/>
      <c r="EK13" s="2234"/>
      <c r="EL13" s="2234"/>
      <c r="EM13" s="2234"/>
      <c r="EN13" s="2234"/>
      <c r="EO13" s="2234"/>
      <c r="EP13" s="2234"/>
      <c r="EQ13" s="2234"/>
      <c r="ER13" s="2234"/>
      <c r="ES13" s="2234"/>
      <c r="ET13" s="2234"/>
      <c r="EU13" s="2234"/>
      <c r="EV13" s="2234"/>
      <c r="EW13" s="2234"/>
      <c r="EX13" s="2234"/>
      <c r="EY13" s="2234"/>
      <c r="EZ13" s="2234"/>
      <c r="FA13" s="2234"/>
      <c r="FB13" s="2234"/>
      <c r="FC13" s="2234"/>
      <c r="FD13" s="2234"/>
      <c r="FE13" s="2234"/>
      <c r="FF13" s="2234"/>
      <c r="FG13" s="2234"/>
      <c r="FH13" s="2234"/>
      <c r="FI13" s="2234"/>
      <c r="FJ13" s="2234"/>
      <c r="FK13" s="2234"/>
      <c r="FL13" s="2234"/>
      <c r="FM13" s="2234"/>
      <c r="FN13" s="2234"/>
      <c r="FO13" s="2234"/>
      <c r="FP13" s="2234"/>
      <c r="FQ13" s="2234"/>
      <c r="FR13" s="2234"/>
      <c r="FS13" s="2234"/>
      <c r="FT13" s="2234"/>
      <c r="FU13" s="2234"/>
      <c r="FV13" s="2234"/>
      <c r="FW13" s="2240"/>
      <c r="FX13" s="584"/>
    </row>
    <row r="14" spans="2:180" ht="36" customHeight="1">
      <c r="D14" s="723"/>
      <c r="E14" s="722"/>
      <c r="F14" s="2063"/>
      <c r="G14" s="2063"/>
      <c r="H14" s="2063"/>
      <c r="I14" s="2063"/>
      <c r="J14" s="2252"/>
      <c r="K14" s="2252"/>
      <c r="L14" s="2252"/>
      <c r="M14" s="2252"/>
      <c r="N14" s="2252"/>
      <c r="O14" s="2166" t="s">
        <v>937</v>
      </c>
      <c r="P14" s="2218"/>
      <c r="Q14" s="2166" t="s">
        <v>938</v>
      </c>
      <c r="R14" s="2218"/>
      <c r="S14" s="2167"/>
      <c r="T14" s="2069"/>
      <c r="U14" s="2166" t="s">
        <v>669</v>
      </c>
      <c r="V14" s="2218"/>
      <c r="W14" s="2166" t="s">
        <v>672</v>
      </c>
      <c r="X14" s="2218"/>
      <c r="Y14" s="2166" t="s">
        <v>669</v>
      </c>
      <c r="Z14" s="2218"/>
      <c r="AA14" s="2166" t="s">
        <v>679</v>
      </c>
      <c r="AB14" s="2218"/>
      <c r="AC14" s="2234"/>
      <c r="AD14" s="2234"/>
      <c r="AE14" s="2234"/>
      <c r="AF14" s="2234"/>
      <c r="AG14" s="2234"/>
      <c r="AH14" s="2234"/>
      <c r="AI14" s="2234"/>
      <c r="AJ14" s="2234"/>
      <c r="AK14" s="2234"/>
      <c r="AL14" s="2234"/>
      <c r="AM14" s="2234"/>
      <c r="AN14" s="2234"/>
      <c r="AO14" s="2234"/>
      <c r="AP14" s="2234"/>
      <c r="AQ14" s="2234"/>
      <c r="AR14" s="2234"/>
      <c r="AS14" s="2234"/>
      <c r="AT14" s="2234"/>
      <c r="AU14" s="2234"/>
      <c r="AV14" s="2234"/>
      <c r="AW14" s="2234"/>
      <c r="AX14" s="2234"/>
      <c r="AY14" s="2234"/>
      <c r="AZ14" s="2234"/>
      <c r="BA14" s="2234"/>
      <c r="BB14" s="2234"/>
      <c r="BC14" s="2234"/>
      <c r="BD14" s="2234"/>
      <c r="BE14" s="2234"/>
      <c r="BF14" s="2234"/>
      <c r="BG14" s="2234"/>
      <c r="BH14" s="2234"/>
      <c r="BI14" s="2234"/>
      <c r="BJ14" s="2234"/>
      <c r="BK14" s="2234"/>
      <c r="BL14" s="2234"/>
      <c r="BM14" s="2234"/>
      <c r="BN14" s="2234"/>
      <c r="BO14" s="2234"/>
      <c r="BP14" s="2234"/>
      <c r="BQ14" s="2234"/>
      <c r="BR14" s="2234"/>
      <c r="BS14" s="2235"/>
      <c r="BT14" s="2167"/>
      <c r="BU14" s="2069"/>
      <c r="BV14" s="2167"/>
      <c r="BW14" s="2069"/>
      <c r="BX14" s="2167"/>
      <c r="BY14" s="2069"/>
      <c r="BZ14" s="2167"/>
      <c r="CA14" s="2069"/>
      <c r="CB14" s="2167"/>
      <c r="CC14" s="2069"/>
      <c r="CD14" s="2167"/>
      <c r="CE14" s="2069"/>
      <c r="CF14" s="2167"/>
      <c r="CG14" s="2069"/>
      <c r="CH14" s="2166" t="s">
        <v>939</v>
      </c>
      <c r="CI14" s="2218"/>
      <c r="CJ14" s="2166" t="s">
        <v>940</v>
      </c>
      <c r="CK14" s="2218"/>
      <c r="CL14" s="2242"/>
      <c r="CM14" s="2234"/>
      <c r="CN14" s="2234"/>
      <c r="CO14" s="2234"/>
      <c r="CP14" s="2234"/>
      <c r="CQ14" s="2234"/>
      <c r="CR14" s="2234"/>
      <c r="CS14" s="2234"/>
      <c r="CT14" s="2234"/>
      <c r="CU14" s="2234"/>
      <c r="CV14" s="2234"/>
      <c r="CW14" s="2234"/>
      <c r="CX14" s="2235"/>
      <c r="CY14" s="2167"/>
      <c r="CZ14" s="2069"/>
      <c r="DA14" s="2167"/>
      <c r="DB14" s="2069"/>
      <c r="DC14" s="2167"/>
      <c r="DD14" s="2069"/>
      <c r="DE14" s="2167"/>
      <c r="DF14" s="2069"/>
      <c r="DG14" s="2166" t="s">
        <v>941</v>
      </c>
      <c r="DH14" s="2218"/>
      <c r="DI14" s="2166" t="s">
        <v>942</v>
      </c>
      <c r="DJ14" s="2218"/>
      <c r="DK14" s="2242"/>
      <c r="DL14" s="2234"/>
      <c r="DM14" s="2234"/>
      <c r="DN14" s="2234"/>
      <c r="DO14" s="2234"/>
      <c r="DP14" s="2234"/>
      <c r="DQ14" s="2234"/>
      <c r="DR14" s="2234"/>
      <c r="DS14" s="2234"/>
      <c r="DT14" s="2234"/>
      <c r="DU14" s="2234"/>
      <c r="DV14" s="2234"/>
      <c r="DW14" s="2234"/>
      <c r="DX14" s="2234"/>
      <c r="DY14" s="2234"/>
      <c r="DZ14" s="2234"/>
      <c r="EA14" s="2234"/>
      <c r="EB14" s="2234"/>
      <c r="EC14" s="2234"/>
      <c r="ED14" s="2234"/>
      <c r="EE14" s="2234"/>
      <c r="EF14" s="2234"/>
      <c r="EG14" s="2234"/>
      <c r="EH14" s="2234"/>
      <c r="EI14" s="2234"/>
      <c r="EJ14" s="2234"/>
      <c r="EK14" s="2234"/>
      <c r="EL14" s="2234"/>
      <c r="EM14" s="2234"/>
      <c r="EN14" s="2234"/>
      <c r="EO14" s="2234"/>
      <c r="EP14" s="2234"/>
      <c r="EQ14" s="2234"/>
      <c r="ER14" s="2234"/>
      <c r="ES14" s="2234"/>
      <c r="ET14" s="2234"/>
      <c r="EU14" s="2234"/>
      <c r="EV14" s="2234"/>
      <c r="EW14" s="2234"/>
      <c r="EX14" s="2234"/>
      <c r="EY14" s="2234"/>
      <c r="EZ14" s="2234"/>
      <c r="FA14" s="2234"/>
      <c r="FB14" s="2234"/>
      <c r="FC14" s="2234"/>
      <c r="FD14" s="2234"/>
      <c r="FE14" s="2234"/>
      <c r="FF14" s="2234"/>
      <c r="FG14" s="2234"/>
      <c r="FH14" s="2234"/>
      <c r="FI14" s="2234"/>
      <c r="FJ14" s="2234"/>
      <c r="FK14" s="2234"/>
      <c r="FL14" s="2234"/>
      <c r="FM14" s="2234"/>
      <c r="FN14" s="2234"/>
      <c r="FO14" s="2234"/>
      <c r="FP14" s="2234"/>
      <c r="FQ14" s="2234"/>
      <c r="FR14" s="2234"/>
      <c r="FS14" s="2234"/>
      <c r="FT14" s="2234"/>
      <c r="FU14" s="2234"/>
      <c r="FV14" s="2234"/>
      <c r="FW14" s="2240"/>
      <c r="FX14" s="584"/>
    </row>
    <row r="15" spans="2:180" ht="36" customHeight="1">
      <c r="D15" s="723"/>
      <c r="E15" s="722"/>
      <c r="F15" s="2063"/>
      <c r="G15" s="2063"/>
      <c r="H15" s="2063"/>
      <c r="I15" s="2063"/>
      <c r="J15" s="2252"/>
      <c r="K15" s="2252"/>
      <c r="L15" s="2252"/>
      <c r="M15" s="2252"/>
      <c r="N15" s="2252"/>
      <c r="O15" s="2168"/>
      <c r="P15" s="2219"/>
      <c r="Q15" s="2168"/>
      <c r="R15" s="2219"/>
      <c r="S15" s="2168"/>
      <c r="T15" s="2219"/>
      <c r="U15" s="2168"/>
      <c r="V15" s="2219"/>
      <c r="W15" s="2168"/>
      <c r="X15" s="2219"/>
      <c r="Y15" s="2168"/>
      <c r="Z15" s="2219"/>
      <c r="AA15" s="2168"/>
      <c r="AB15" s="2219"/>
      <c r="AC15" s="2234"/>
      <c r="AD15" s="2234"/>
      <c r="AE15" s="2234"/>
      <c r="AF15" s="2234"/>
      <c r="AG15" s="2234"/>
      <c r="AH15" s="2234"/>
      <c r="AI15" s="2234"/>
      <c r="AJ15" s="2234"/>
      <c r="AK15" s="2234"/>
      <c r="AL15" s="2234"/>
      <c r="AM15" s="2234"/>
      <c r="AN15" s="2234"/>
      <c r="AO15" s="2234"/>
      <c r="AP15" s="2234"/>
      <c r="AQ15" s="2234"/>
      <c r="AR15" s="2234"/>
      <c r="AS15" s="2234"/>
      <c r="AT15" s="2234"/>
      <c r="AU15" s="2234"/>
      <c r="AV15" s="2234"/>
      <c r="AW15" s="2234"/>
      <c r="AX15" s="2234"/>
      <c r="AY15" s="2234"/>
      <c r="AZ15" s="2234"/>
      <c r="BA15" s="2234"/>
      <c r="BB15" s="2234"/>
      <c r="BC15" s="2234"/>
      <c r="BD15" s="2234"/>
      <c r="BE15" s="2234"/>
      <c r="BF15" s="2234"/>
      <c r="BG15" s="2234"/>
      <c r="BH15" s="2234"/>
      <c r="BI15" s="2234"/>
      <c r="BJ15" s="2234"/>
      <c r="BK15" s="2234"/>
      <c r="BL15" s="2234"/>
      <c r="BM15" s="2234"/>
      <c r="BN15" s="2234"/>
      <c r="BO15" s="2234"/>
      <c r="BP15" s="2234"/>
      <c r="BQ15" s="2234"/>
      <c r="BR15" s="2234"/>
      <c r="BS15" s="2235"/>
      <c r="BT15" s="2168"/>
      <c r="BU15" s="2219"/>
      <c r="BV15" s="2168"/>
      <c r="BW15" s="2219"/>
      <c r="BX15" s="2168"/>
      <c r="BY15" s="2219"/>
      <c r="BZ15" s="2168"/>
      <c r="CA15" s="2219"/>
      <c r="CB15" s="2168"/>
      <c r="CC15" s="2219"/>
      <c r="CD15" s="2168"/>
      <c r="CE15" s="2219"/>
      <c r="CF15" s="2168"/>
      <c r="CG15" s="2219"/>
      <c r="CH15" s="2168"/>
      <c r="CI15" s="2219"/>
      <c r="CJ15" s="2168"/>
      <c r="CK15" s="2219"/>
      <c r="CL15" s="2242"/>
      <c r="CM15" s="2234"/>
      <c r="CN15" s="2234"/>
      <c r="CO15" s="2234"/>
      <c r="CP15" s="2234"/>
      <c r="CQ15" s="2234"/>
      <c r="CR15" s="2234"/>
      <c r="CS15" s="2234"/>
      <c r="CT15" s="2234"/>
      <c r="CU15" s="2234"/>
      <c r="CV15" s="2234"/>
      <c r="CW15" s="2234"/>
      <c r="CX15" s="2235"/>
      <c r="CY15" s="2168"/>
      <c r="CZ15" s="2219"/>
      <c r="DA15" s="2168"/>
      <c r="DB15" s="2219"/>
      <c r="DC15" s="2168"/>
      <c r="DD15" s="2219"/>
      <c r="DE15" s="2168"/>
      <c r="DF15" s="2219"/>
      <c r="DG15" s="2168"/>
      <c r="DH15" s="2219"/>
      <c r="DI15" s="2168"/>
      <c r="DJ15" s="2219"/>
      <c r="DK15" s="2242"/>
      <c r="DL15" s="2234"/>
      <c r="DM15" s="2234"/>
      <c r="DN15" s="2234"/>
      <c r="DO15" s="2234"/>
      <c r="DP15" s="2234"/>
      <c r="DQ15" s="2234"/>
      <c r="DR15" s="2234"/>
      <c r="DS15" s="2234"/>
      <c r="DT15" s="2234"/>
      <c r="DU15" s="2234"/>
      <c r="DV15" s="2234"/>
      <c r="DW15" s="2234"/>
      <c r="DX15" s="2234"/>
      <c r="DY15" s="2234"/>
      <c r="DZ15" s="2234"/>
      <c r="EA15" s="2234"/>
      <c r="EB15" s="2234"/>
      <c r="EC15" s="2234"/>
      <c r="ED15" s="2234"/>
      <c r="EE15" s="2234"/>
      <c r="EF15" s="2234"/>
      <c r="EG15" s="2234"/>
      <c r="EH15" s="2234"/>
      <c r="EI15" s="2234"/>
      <c r="EJ15" s="2234"/>
      <c r="EK15" s="2234"/>
      <c r="EL15" s="2234"/>
      <c r="EM15" s="2234"/>
      <c r="EN15" s="2234"/>
      <c r="EO15" s="2234"/>
      <c r="EP15" s="2234"/>
      <c r="EQ15" s="2234"/>
      <c r="ER15" s="2234"/>
      <c r="ES15" s="2234"/>
      <c r="ET15" s="2234"/>
      <c r="EU15" s="2234"/>
      <c r="EV15" s="2234"/>
      <c r="EW15" s="2234"/>
      <c r="EX15" s="2234"/>
      <c r="EY15" s="2234"/>
      <c r="EZ15" s="2234"/>
      <c r="FA15" s="2234"/>
      <c r="FB15" s="2234"/>
      <c r="FC15" s="2234"/>
      <c r="FD15" s="2234"/>
      <c r="FE15" s="2234"/>
      <c r="FF15" s="2234"/>
      <c r="FG15" s="2234"/>
      <c r="FH15" s="2234"/>
      <c r="FI15" s="2234"/>
      <c r="FJ15" s="2234"/>
      <c r="FK15" s="2234"/>
      <c r="FL15" s="2234"/>
      <c r="FM15" s="2234"/>
      <c r="FN15" s="2234"/>
      <c r="FO15" s="2234"/>
      <c r="FP15" s="2234"/>
      <c r="FQ15" s="2234"/>
      <c r="FR15" s="2234"/>
      <c r="FS15" s="2234"/>
      <c r="FT15" s="2234"/>
      <c r="FU15" s="2234"/>
      <c r="FV15" s="2234"/>
      <c r="FW15" s="2240"/>
      <c r="FX15" s="584"/>
    </row>
    <row r="16" spans="2:180" ht="12" customHeight="1">
      <c r="D16" s="723"/>
      <c r="E16" s="722"/>
      <c r="F16" s="2063"/>
      <c r="G16" s="2063"/>
      <c r="H16" s="2063"/>
      <c r="I16" s="2063"/>
      <c r="J16" s="2252"/>
      <c r="K16" s="2252"/>
      <c r="L16" s="2252"/>
      <c r="M16" s="2252"/>
      <c r="N16" s="2252"/>
      <c r="O16" s="2232" t="s">
        <v>659</v>
      </c>
      <c r="P16" s="2233"/>
      <c r="Q16" s="2232" t="s">
        <v>661</v>
      </c>
      <c r="R16" s="2233"/>
      <c r="S16" s="2232" t="s">
        <v>665</v>
      </c>
      <c r="T16" s="2233"/>
      <c r="U16" s="2232" t="s">
        <v>670</v>
      </c>
      <c r="V16" s="2233"/>
      <c r="W16" s="2232" t="s">
        <v>673</v>
      </c>
      <c r="X16" s="2233"/>
      <c r="Y16" s="2232" t="s">
        <v>677</v>
      </c>
      <c r="Z16" s="2233"/>
      <c r="AA16" s="2232" t="s">
        <v>680</v>
      </c>
      <c r="AB16" s="2233"/>
      <c r="AC16" s="2234"/>
      <c r="AD16" s="2234"/>
      <c r="AE16" s="2234"/>
      <c r="AF16" s="2234"/>
      <c r="AG16" s="2234"/>
      <c r="AH16" s="2234"/>
      <c r="AI16" s="2234"/>
      <c r="AJ16" s="2234"/>
      <c r="AK16" s="2234"/>
      <c r="AL16" s="2234"/>
      <c r="AM16" s="2234"/>
      <c r="AN16" s="2234"/>
      <c r="AO16" s="2234"/>
      <c r="AP16" s="2234"/>
      <c r="AQ16" s="2234"/>
      <c r="AR16" s="2234"/>
      <c r="AS16" s="2234"/>
      <c r="AT16" s="2234"/>
      <c r="AU16" s="2234"/>
      <c r="AV16" s="2234"/>
      <c r="AW16" s="2234"/>
      <c r="AX16" s="2234"/>
      <c r="AY16" s="2234"/>
      <c r="AZ16" s="2234"/>
      <c r="BA16" s="2234"/>
      <c r="BB16" s="2234"/>
      <c r="BC16" s="2234"/>
      <c r="BD16" s="2234"/>
      <c r="BE16" s="2234"/>
      <c r="BF16" s="2234"/>
      <c r="BG16" s="2234"/>
      <c r="BH16" s="2234"/>
      <c r="BI16" s="2234"/>
      <c r="BJ16" s="2234"/>
      <c r="BK16" s="2234"/>
      <c r="BL16" s="2234"/>
      <c r="BM16" s="2234"/>
      <c r="BN16" s="2234"/>
      <c r="BO16" s="2234"/>
      <c r="BP16" s="2234"/>
      <c r="BQ16" s="2234"/>
      <c r="BR16" s="2234"/>
      <c r="BS16" s="2235"/>
      <c r="BT16" s="2232" t="s">
        <v>476</v>
      </c>
      <c r="BU16" s="2233"/>
      <c r="BV16" s="2232" t="s">
        <v>476</v>
      </c>
      <c r="BW16" s="2233"/>
      <c r="BX16" s="2232" t="s">
        <v>476</v>
      </c>
      <c r="BY16" s="2233"/>
      <c r="BZ16" s="2232" t="s">
        <v>476</v>
      </c>
      <c r="CA16" s="2233"/>
      <c r="CB16" s="2232" t="s">
        <v>943</v>
      </c>
      <c r="CC16" s="2233"/>
      <c r="CD16" s="2232" t="s">
        <v>476</v>
      </c>
      <c r="CE16" s="2233"/>
      <c r="CF16" s="2232" t="s">
        <v>944</v>
      </c>
      <c r="CG16" s="2233"/>
      <c r="CH16" s="2232" t="s">
        <v>945</v>
      </c>
      <c r="CI16" s="2233"/>
      <c r="CJ16" s="2232" t="s">
        <v>945</v>
      </c>
      <c r="CK16" s="2233"/>
      <c r="CL16" s="2242"/>
      <c r="CM16" s="2234"/>
      <c r="CN16" s="2234"/>
      <c r="CO16" s="2234"/>
      <c r="CP16" s="2234"/>
      <c r="CQ16" s="2234"/>
      <c r="CR16" s="2234"/>
      <c r="CS16" s="2234"/>
      <c r="CT16" s="2234"/>
      <c r="CU16" s="2234"/>
      <c r="CV16" s="2234"/>
      <c r="CW16" s="2234"/>
      <c r="CX16" s="2235"/>
      <c r="CY16" s="2166" t="s">
        <v>476</v>
      </c>
      <c r="CZ16" s="2218"/>
      <c r="DA16" s="2166" t="s">
        <v>476</v>
      </c>
      <c r="DB16" s="2218"/>
      <c r="DC16" s="2166" t="s">
        <v>476</v>
      </c>
      <c r="DD16" s="2218"/>
      <c r="DE16" s="2232" t="s">
        <v>943</v>
      </c>
      <c r="DF16" s="2233"/>
      <c r="DG16" s="2232" t="s">
        <v>946</v>
      </c>
      <c r="DH16" s="2233"/>
      <c r="DI16" s="2232" t="s">
        <v>946</v>
      </c>
      <c r="DJ16" s="2233"/>
      <c r="DK16" s="2242"/>
      <c r="DL16" s="2234"/>
      <c r="DM16" s="2234"/>
      <c r="DN16" s="2234"/>
      <c r="DO16" s="2234"/>
      <c r="DP16" s="2234"/>
      <c r="DQ16" s="2234"/>
      <c r="DR16" s="2234"/>
      <c r="DS16" s="2234"/>
      <c r="DT16" s="2234"/>
      <c r="DU16" s="2234"/>
      <c r="DV16" s="2234"/>
      <c r="DW16" s="2234"/>
      <c r="DX16" s="2234"/>
      <c r="DY16" s="2234"/>
      <c r="DZ16" s="2234"/>
      <c r="EA16" s="2234"/>
      <c r="EB16" s="2234"/>
      <c r="EC16" s="2234"/>
      <c r="ED16" s="2234"/>
      <c r="EE16" s="2234"/>
      <c r="EF16" s="2234"/>
      <c r="EG16" s="2234"/>
      <c r="EH16" s="2234"/>
      <c r="EI16" s="2234"/>
      <c r="EJ16" s="2234"/>
      <c r="EK16" s="2234"/>
      <c r="EL16" s="2234"/>
      <c r="EM16" s="2234"/>
      <c r="EN16" s="2234"/>
      <c r="EO16" s="2234"/>
      <c r="EP16" s="2234"/>
      <c r="EQ16" s="2234"/>
      <c r="ER16" s="2234"/>
      <c r="ES16" s="2234"/>
      <c r="ET16" s="2234"/>
      <c r="EU16" s="2234"/>
      <c r="EV16" s="2234"/>
      <c r="EW16" s="2234"/>
      <c r="EX16" s="2234"/>
      <c r="EY16" s="2234"/>
      <c r="EZ16" s="2234"/>
      <c r="FA16" s="2234"/>
      <c r="FB16" s="2234"/>
      <c r="FC16" s="2234"/>
      <c r="FD16" s="2234"/>
      <c r="FE16" s="2234"/>
      <c r="FF16" s="2234"/>
      <c r="FG16" s="2234"/>
      <c r="FH16" s="2234"/>
      <c r="FI16" s="2234"/>
      <c r="FJ16" s="2234"/>
      <c r="FK16" s="2234"/>
      <c r="FL16" s="2234"/>
      <c r="FM16" s="2234"/>
      <c r="FN16" s="2234"/>
      <c r="FO16" s="2234"/>
      <c r="FP16" s="2234"/>
      <c r="FQ16" s="2234"/>
      <c r="FR16" s="2234"/>
      <c r="FS16" s="2234"/>
      <c r="FT16" s="2234"/>
      <c r="FU16" s="2234"/>
      <c r="FV16" s="2234"/>
      <c r="FW16" s="2240"/>
      <c r="FX16" s="584"/>
    </row>
    <row r="17" spans="1:184" ht="15" customHeight="1">
      <c r="E17" s="722"/>
      <c r="F17" s="2063"/>
      <c r="G17" s="2063"/>
      <c r="H17" s="2063"/>
      <c r="I17" s="2063"/>
      <c r="J17" s="2252"/>
      <c r="K17" s="2252"/>
      <c r="L17" s="2252"/>
      <c r="M17" s="2252"/>
      <c r="N17" s="2252"/>
      <c r="O17" s="960" t="s">
        <v>947</v>
      </c>
      <c r="P17" s="960" t="s">
        <v>948</v>
      </c>
      <c r="Q17" s="960" t="s">
        <v>947</v>
      </c>
      <c r="R17" s="960" t="s">
        <v>948</v>
      </c>
      <c r="S17" s="960" t="s">
        <v>947</v>
      </c>
      <c r="T17" s="960" t="s">
        <v>948</v>
      </c>
      <c r="U17" s="960" t="s">
        <v>947</v>
      </c>
      <c r="V17" s="960" t="s">
        <v>948</v>
      </c>
      <c r="W17" s="960" t="s">
        <v>947</v>
      </c>
      <c r="X17" s="960" t="s">
        <v>948</v>
      </c>
      <c r="Y17" s="960" t="s">
        <v>947</v>
      </c>
      <c r="Z17" s="960" t="s">
        <v>948</v>
      </c>
      <c r="AA17" s="960" t="s">
        <v>947</v>
      </c>
      <c r="AB17" s="960" t="s">
        <v>948</v>
      </c>
      <c r="AC17" s="2234"/>
      <c r="AD17" s="2234"/>
      <c r="AE17" s="2234"/>
      <c r="AF17" s="2234"/>
      <c r="AG17" s="2234"/>
      <c r="AH17" s="2234"/>
      <c r="AI17" s="2234"/>
      <c r="AJ17" s="2234"/>
      <c r="AK17" s="2234"/>
      <c r="AL17" s="2234"/>
      <c r="AM17" s="2234"/>
      <c r="AN17" s="2234"/>
      <c r="AO17" s="2234"/>
      <c r="AP17" s="2234"/>
      <c r="AQ17" s="2234"/>
      <c r="AR17" s="2234"/>
      <c r="AS17" s="2234"/>
      <c r="AT17" s="2234"/>
      <c r="AU17" s="2234"/>
      <c r="AV17" s="2234"/>
      <c r="AW17" s="2234"/>
      <c r="AX17" s="2234"/>
      <c r="AY17" s="2234"/>
      <c r="AZ17" s="2234"/>
      <c r="BA17" s="2234"/>
      <c r="BB17" s="2234"/>
      <c r="BC17" s="2234"/>
      <c r="BD17" s="2234"/>
      <c r="BE17" s="2234"/>
      <c r="BF17" s="2234"/>
      <c r="BG17" s="2234"/>
      <c r="BH17" s="2234"/>
      <c r="BI17" s="2234"/>
      <c r="BJ17" s="2234"/>
      <c r="BK17" s="2234"/>
      <c r="BL17" s="2234"/>
      <c r="BM17" s="2234"/>
      <c r="BN17" s="2234"/>
      <c r="BO17" s="2234"/>
      <c r="BP17" s="2234"/>
      <c r="BQ17" s="2234"/>
      <c r="BR17" s="2234"/>
      <c r="BS17" s="2235"/>
      <c r="BT17" s="960" t="s">
        <v>947</v>
      </c>
      <c r="BU17" s="960" t="s">
        <v>948</v>
      </c>
      <c r="BV17" s="960" t="s">
        <v>947</v>
      </c>
      <c r="BW17" s="960" t="s">
        <v>948</v>
      </c>
      <c r="BX17" s="960" t="s">
        <v>947</v>
      </c>
      <c r="BY17" s="960" t="s">
        <v>948</v>
      </c>
      <c r="BZ17" s="960" t="s">
        <v>947</v>
      </c>
      <c r="CA17" s="960" t="s">
        <v>948</v>
      </c>
      <c r="CB17" s="960" t="s">
        <v>947</v>
      </c>
      <c r="CC17" s="960" t="s">
        <v>948</v>
      </c>
      <c r="CD17" s="960" t="s">
        <v>947</v>
      </c>
      <c r="CE17" s="960" t="s">
        <v>948</v>
      </c>
      <c r="CF17" s="960" t="s">
        <v>947</v>
      </c>
      <c r="CG17" s="960" t="s">
        <v>948</v>
      </c>
      <c r="CH17" s="960" t="s">
        <v>947</v>
      </c>
      <c r="CI17" s="960" t="s">
        <v>948</v>
      </c>
      <c r="CJ17" s="960" t="s">
        <v>947</v>
      </c>
      <c r="CK17" s="960" t="s">
        <v>948</v>
      </c>
      <c r="CL17" s="2242"/>
      <c r="CM17" s="2234"/>
      <c r="CN17" s="2234"/>
      <c r="CO17" s="2234"/>
      <c r="CP17" s="2234"/>
      <c r="CQ17" s="2234"/>
      <c r="CR17" s="2234"/>
      <c r="CS17" s="2234"/>
      <c r="CT17" s="2234"/>
      <c r="CU17" s="2234"/>
      <c r="CV17" s="2234"/>
      <c r="CW17" s="2234"/>
      <c r="CX17" s="2235"/>
      <c r="CY17" s="960" t="s">
        <v>947</v>
      </c>
      <c r="CZ17" s="960" t="s">
        <v>948</v>
      </c>
      <c r="DA17" s="960" t="s">
        <v>947</v>
      </c>
      <c r="DB17" s="960" t="s">
        <v>948</v>
      </c>
      <c r="DC17" s="960" t="s">
        <v>947</v>
      </c>
      <c r="DD17" s="960" t="s">
        <v>948</v>
      </c>
      <c r="DE17" s="960" t="s">
        <v>947</v>
      </c>
      <c r="DF17" s="960" t="s">
        <v>948</v>
      </c>
      <c r="DG17" s="960" t="s">
        <v>947</v>
      </c>
      <c r="DH17" s="960" t="s">
        <v>948</v>
      </c>
      <c r="DI17" s="960" t="s">
        <v>947</v>
      </c>
      <c r="DJ17" s="960" t="s">
        <v>948</v>
      </c>
      <c r="DK17" s="2242"/>
      <c r="DL17" s="2234"/>
      <c r="DM17" s="2234"/>
      <c r="DN17" s="2234"/>
      <c r="DO17" s="2234"/>
      <c r="DP17" s="2234"/>
      <c r="DQ17" s="2234"/>
      <c r="DR17" s="2234"/>
      <c r="DS17" s="2234"/>
      <c r="DT17" s="2234"/>
      <c r="DU17" s="2234"/>
      <c r="DV17" s="2234"/>
      <c r="DW17" s="2234"/>
      <c r="DX17" s="2234"/>
      <c r="DY17" s="2234"/>
      <c r="DZ17" s="2234"/>
      <c r="EA17" s="2234"/>
      <c r="EB17" s="2234"/>
      <c r="EC17" s="2234"/>
      <c r="ED17" s="2234"/>
      <c r="EE17" s="2234"/>
      <c r="EF17" s="2234"/>
      <c r="EG17" s="2234"/>
      <c r="EH17" s="2234"/>
      <c r="EI17" s="2234"/>
      <c r="EJ17" s="2234"/>
      <c r="EK17" s="2234"/>
      <c r="EL17" s="2234"/>
      <c r="EM17" s="2234"/>
      <c r="EN17" s="2234"/>
      <c r="EO17" s="2234"/>
      <c r="EP17" s="2234"/>
      <c r="EQ17" s="2234"/>
      <c r="ER17" s="2234"/>
      <c r="ES17" s="2234"/>
      <c r="ET17" s="2234"/>
      <c r="EU17" s="2234"/>
      <c r="EV17" s="2234"/>
      <c r="EW17" s="2234"/>
      <c r="EX17" s="2234"/>
      <c r="EY17" s="2234"/>
      <c r="EZ17" s="2234"/>
      <c r="FA17" s="2234"/>
      <c r="FB17" s="2234"/>
      <c r="FC17" s="2234"/>
      <c r="FD17" s="2234"/>
      <c r="FE17" s="2234"/>
      <c r="FF17" s="2234"/>
      <c r="FG17" s="2234"/>
      <c r="FH17" s="2234"/>
      <c r="FI17" s="2234"/>
      <c r="FJ17" s="2234"/>
      <c r="FK17" s="2234"/>
      <c r="FL17" s="2234"/>
      <c r="FM17" s="2234"/>
      <c r="FN17" s="2234"/>
      <c r="FO17" s="2234"/>
      <c r="FP17" s="2234"/>
      <c r="FQ17" s="2234"/>
      <c r="FR17" s="2234"/>
      <c r="FS17" s="2234"/>
      <c r="FT17" s="2234"/>
      <c r="FU17" s="2234"/>
      <c r="FV17" s="2234"/>
      <c r="FW17" s="2241"/>
      <c r="FX17" s="584"/>
    </row>
    <row r="18" spans="1:184" s="1797" customFormat="1" ht="12" hidden="1" customHeight="1">
      <c r="B18" s="711"/>
      <c r="E18" s="724"/>
      <c r="F18" s="961"/>
      <c r="G18" s="961"/>
      <c r="H18" s="961"/>
      <c r="I18" s="961"/>
      <c r="J18" s="962"/>
      <c r="K18" s="962"/>
      <c r="L18" s="962"/>
      <c r="M18" s="962"/>
      <c r="N18" s="962"/>
      <c r="O18" s="961"/>
      <c r="P18" s="961"/>
      <c r="Q18" s="961"/>
      <c r="R18" s="961"/>
      <c r="S18" s="961"/>
      <c r="T18" s="961"/>
      <c r="U18" s="963"/>
      <c r="V18" s="963"/>
      <c r="W18" s="963"/>
      <c r="X18" s="963"/>
      <c r="Y18" s="963"/>
      <c r="Z18" s="963"/>
      <c r="AA18" s="963"/>
      <c r="AB18" s="961"/>
      <c r="AC18" s="962"/>
      <c r="AD18" s="962"/>
      <c r="AE18" s="962"/>
      <c r="AF18" s="962"/>
      <c r="AG18" s="962"/>
      <c r="AH18" s="962"/>
      <c r="AI18" s="962"/>
      <c r="AJ18" s="962"/>
      <c r="AK18" s="962"/>
      <c r="AL18" s="962"/>
      <c r="AM18" s="962"/>
      <c r="AN18" s="962"/>
      <c r="AO18" s="962"/>
      <c r="AP18" s="962"/>
      <c r="AQ18" s="962"/>
      <c r="AR18" s="962"/>
      <c r="AS18" s="962"/>
      <c r="AT18" s="962"/>
      <c r="AU18" s="962"/>
      <c r="AV18" s="962"/>
      <c r="AW18" s="962"/>
      <c r="AX18" s="962"/>
      <c r="AY18" s="962"/>
      <c r="AZ18" s="962"/>
      <c r="BA18" s="962"/>
      <c r="BB18" s="962"/>
      <c r="BC18" s="962"/>
      <c r="BD18" s="962"/>
      <c r="BE18" s="962"/>
      <c r="BF18" s="962"/>
      <c r="BG18" s="962"/>
      <c r="BH18" s="962"/>
      <c r="BI18" s="962"/>
      <c r="BJ18" s="962"/>
      <c r="BK18" s="962"/>
      <c r="BL18" s="962"/>
      <c r="BM18" s="962"/>
      <c r="BN18" s="962"/>
      <c r="BO18" s="962"/>
      <c r="BP18" s="962"/>
      <c r="BQ18" s="962"/>
      <c r="BR18" s="962"/>
      <c r="BS18" s="962"/>
      <c r="BT18" s="964"/>
      <c r="BU18" s="964"/>
      <c r="BV18" s="964"/>
      <c r="BW18" s="964"/>
      <c r="BX18" s="964"/>
      <c r="BY18" s="964"/>
      <c r="BZ18" s="964"/>
      <c r="CA18" s="964"/>
      <c r="CB18" s="964"/>
      <c r="CC18" s="964"/>
      <c r="CD18" s="964"/>
      <c r="CE18" s="964"/>
      <c r="CF18" s="964"/>
      <c r="CG18" s="964"/>
      <c r="CH18" s="964"/>
      <c r="CI18" s="964"/>
      <c r="CJ18" s="964"/>
      <c r="CK18" s="964"/>
      <c r="CL18" s="962"/>
      <c r="CM18" s="962"/>
      <c r="CN18" s="962"/>
      <c r="CO18" s="962"/>
      <c r="CP18" s="962"/>
      <c r="CQ18" s="962"/>
      <c r="CR18" s="962"/>
      <c r="CS18" s="962"/>
      <c r="CT18" s="962"/>
      <c r="CU18" s="962"/>
      <c r="CV18" s="962"/>
      <c r="CW18" s="962"/>
      <c r="CX18" s="962"/>
      <c r="CY18" s="964"/>
      <c r="CZ18" s="964"/>
      <c r="DA18" s="964"/>
      <c r="DB18" s="964"/>
      <c r="DC18" s="964"/>
      <c r="DD18" s="964"/>
      <c r="DE18" s="964"/>
      <c r="DF18" s="964"/>
      <c r="DG18" s="964"/>
      <c r="DH18" s="964"/>
      <c r="DI18" s="964"/>
      <c r="DJ18" s="964"/>
      <c r="DK18" s="962"/>
      <c r="DL18" s="962"/>
      <c r="DM18" s="962"/>
      <c r="DN18" s="962"/>
      <c r="DO18" s="962"/>
      <c r="DP18" s="962"/>
      <c r="DQ18" s="962"/>
      <c r="DR18" s="962"/>
      <c r="DS18" s="962"/>
      <c r="DT18" s="962"/>
      <c r="DU18" s="962"/>
      <c r="DV18" s="962"/>
      <c r="DW18" s="962"/>
      <c r="DX18" s="962"/>
      <c r="DY18" s="962"/>
      <c r="DZ18" s="962"/>
      <c r="EA18" s="962"/>
      <c r="EB18" s="962"/>
      <c r="EC18" s="962"/>
      <c r="ED18" s="962"/>
      <c r="EE18" s="962"/>
      <c r="EF18" s="962"/>
      <c r="EG18" s="962"/>
      <c r="EH18" s="962"/>
      <c r="EI18" s="962"/>
      <c r="EJ18" s="962"/>
      <c r="EK18" s="962"/>
      <c r="EL18" s="962"/>
      <c r="EM18" s="962"/>
      <c r="EN18" s="962"/>
      <c r="EO18" s="962"/>
      <c r="EP18" s="962"/>
      <c r="EQ18" s="962"/>
      <c r="ER18" s="962"/>
      <c r="ES18" s="962"/>
      <c r="ET18" s="962"/>
      <c r="EU18" s="962"/>
      <c r="EV18" s="962"/>
      <c r="EW18" s="962"/>
      <c r="EX18" s="962"/>
      <c r="EY18" s="962"/>
      <c r="EZ18" s="962"/>
      <c r="FA18" s="962"/>
      <c r="FB18" s="962"/>
      <c r="FC18" s="962"/>
      <c r="FD18" s="962"/>
      <c r="FE18" s="962"/>
      <c r="FF18" s="962"/>
      <c r="FG18" s="962"/>
      <c r="FH18" s="962"/>
      <c r="FI18" s="962"/>
      <c r="FJ18" s="962"/>
      <c r="FK18" s="962"/>
      <c r="FL18" s="962"/>
      <c r="FM18" s="962"/>
      <c r="FN18" s="962"/>
      <c r="FO18" s="962"/>
      <c r="FP18" s="962"/>
      <c r="FQ18" s="962"/>
      <c r="FR18" s="962"/>
      <c r="FS18" s="962"/>
      <c r="FT18" s="962"/>
      <c r="FU18" s="962"/>
      <c r="FV18" s="962"/>
      <c r="FW18" s="961"/>
      <c r="FX18" s="965"/>
    </row>
    <row r="19" spans="1:184" s="1797" customFormat="1" ht="11.25" hidden="1" customHeight="1">
      <c r="B19" s="711"/>
      <c r="E19" s="724"/>
      <c r="F19" s="961"/>
      <c r="G19" s="961"/>
      <c r="H19" s="961"/>
      <c r="I19" s="961"/>
      <c r="J19" s="961"/>
      <c r="K19" s="961"/>
      <c r="L19" s="961"/>
      <c r="M19" s="961"/>
      <c r="N19" s="961"/>
      <c r="O19" s="961"/>
      <c r="P19" s="961"/>
      <c r="Q19" s="961"/>
      <c r="R19" s="961"/>
      <c r="S19" s="961"/>
      <c r="T19" s="961"/>
      <c r="U19" s="963"/>
      <c r="V19" s="963"/>
      <c r="W19" s="963"/>
      <c r="X19" s="963"/>
      <c r="Y19" s="963"/>
      <c r="Z19" s="963"/>
      <c r="AA19" s="963"/>
      <c r="AB19" s="961"/>
      <c r="AC19" s="961"/>
      <c r="AD19" s="961"/>
      <c r="AE19" s="961"/>
      <c r="AF19" s="961"/>
      <c r="AG19" s="961"/>
      <c r="AH19" s="961"/>
      <c r="AI19" s="961"/>
      <c r="AJ19" s="961"/>
      <c r="AK19" s="961"/>
      <c r="AL19" s="961"/>
      <c r="AM19" s="961"/>
      <c r="AN19" s="961"/>
      <c r="AO19" s="961"/>
      <c r="AP19" s="961"/>
      <c r="AQ19" s="961"/>
      <c r="AR19" s="961"/>
      <c r="AS19" s="961"/>
      <c r="AT19" s="961"/>
      <c r="AU19" s="961"/>
      <c r="AV19" s="961"/>
      <c r="AW19" s="961"/>
      <c r="AX19" s="961"/>
      <c r="AY19" s="961"/>
      <c r="AZ19" s="961"/>
      <c r="BA19" s="961"/>
      <c r="BB19" s="961"/>
      <c r="BC19" s="961"/>
      <c r="BD19" s="961"/>
      <c r="BE19" s="961"/>
      <c r="BF19" s="961"/>
      <c r="BG19" s="961"/>
      <c r="BH19" s="961"/>
      <c r="BI19" s="961"/>
      <c r="BJ19" s="961"/>
      <c r="BK19" s="961"/>
      <c r="BL19" s="961"/>
      <c r="BM19" s="961"/>
      <c r="BN19" s="961"/>
      <c r="BO19" s="961"/>
      <c r="BP19" s="961"/>
      <c r="BQ19" s="961"/>
      <c r="BR19" s="961"/>
      <c r="BS19" s="961"/>
      <c r="BT19" s="961"/>
      <c r="BU19" s="961"/>
      <c r="BV19" s="961"/>
      <c r="BW19" s="961"/>
      <c r="BX19" s="961"/>
      <c r="BY19" s="961"/>
      <c r="BZ19" s="961"/>
      <c r="CA19" s="961"/>
      <c r="CB19" s="961"/>
      <c r="CC19" s="961"/>
      <c r="CD19" s="961"/>
      <c r="CE19" s="961"/>
      <c r="CF19" s="961"/>
      <c r="CG19" s="961"/>
      <c r="CH19" s="961"/>
      <c r="CI19" s="961"/>
      <c r="CJ19" s="961"/>
      <c r="CK19" s="961"/>
      <c r="CL19" s="961"/>
      <c r="CM19" s="961"/>
      <c r="CN19" s="961"/>
      <c r="CO19" s="961"/>
      <c r="CP19" s="961"/>
      <c r="CQ19" s="961"/>
      <c r="CR19" s="961"/>
      <c r="CS19" s="961"/>
      <c r="CT19" s="961"/>
      <c r="CU19" s="961"/>
      <c r="CV19" s="961"/>
      <c r="CW19" s="961"/>
      <c r="CX19" s="961"/>
      <c r="CY19" s="961"/>
      <c r="CZ19" s="961"/>
      <c r="DA19" s="961"/>
      <c r="DB19" s="961"/>
      <c r="DC19" s="961"/>
      <c r="DD19" s="961"/>
      <c r="DE19" s="961"/>
      <c r="DF19" s="961"/>
      <c r="DG19" s="961"/>
      <c r="DH19" s="961"/>
      <c r="DI19" s="961"/>
      <c r="DJ19" s="961"/>
      <c r="DK19" s="961"/>
      <c r="DL19" s="961"/>
      <c r="DM19" s="961"/>
      <c r="DN19" s="961"/>
      <c r="DO19" s="961"/>
      <c r="DP19" s="961"/>
      <c r="DQ19" s="961"/>
      <c r="DR19" s="961"/>
      <c r="DS19" s="961"/>
      <c r="DT19" s="961"/>
      <c r="DU19" s="961"/>
      <c r="DV19" s="961"/>
      <c r="DW19" s="961"/>
      <c r="DX19" s="961"/>
      <c r="DY19" s="961"/>
      <c r="DZ19" s="961"/>
      <c r="EA19" s="961"/>
      <c r="EB19" s="961"/>
      <c r="EC19" s="961"/>
      <c r="ED19" s="961"/>
      <c r="EE19" s="961"/>
      <c r="EF19" s="961"/>
      <c r="EG19" s="961"/>
      <c r="EH19" s="961"/>
      <c r="EI19" s="961"/>
      <c r="EJ19" s="961"/>
      <c r="EK19" s="961"/>
      <c r="EL19" s="961"/>
      <c r="EM19" s="961"/>
      <c r="EN19" s="961"/>
      <c r="EO19" s="961"/>
      <c r="EP19" s="961"/>
      <c r="EQ19" s="961"/>
      <c r="ER19" s="961"/>
      <c r="ES19" s="961"/>
      <c r="ET19" s="961"/>
      <c r="EU19" s="961"/>
      <c r="EV19" s="961"/>
      <c r="EW19" s="961"/>
      <c r="EX19" s="961"/>
      <c r="EY19" s="961"/>
      <c r="EZ19" s="961"/>
      <c r="FA19" s="961"/>
      <c r="FB19" s="961"/>
      <c r="FC19" s="961"/>
      <c r="FD19" s="961"/>
      <c r="FE19" s="961"/>
      <c r="FF19" s="961"/>
      <c r="FG19" s="961"/>
      <c r="FH19" s="961"/>
      <c r="FI19" s="961"/>
      <c r="FJ19" s="961"/>
      <c r="FK19" s="961"/>
      <c r="FL19" s="961"/>
      <c r="FM19" s="961"/>
      <c r="FN19" s="961"/>
      <c r="FO19" s="961"/>
      <c r="FP19" s="961"/>
      <c r="FQ19" s="961"/>
      <c r="FR19" s="961"/>
      <c r="FS19" s="961"/>
      <c r="FT19" s="961"/>
      <c r="FU19" s="961"/>
      <c r="FV19" s="961"/>
      <c r="FW19" s="961"/>
      <c r="FX19" s="965"/>
    </row>
    <row r="20" spans="1:184" s="1796" customFormat="1" ht="11.25" hidden="1" customHeight="1">
      <c r="B20" s="725"/>
      <c r="D20" s="712"/>
      <c r="E20" s="724"/>
      <c r="F20" s="966" t="s">
        <v>302</v>
      </c>
      <c r="G20" s="967"/>
      <c r="H20" s="968"/>
      <c r="I20" s="968"/>
      <c r="J20" s="968"/>
      <c r="K20" s="968"/>
      <c r="L20" s="968"/>
      <c r="M20" s="968"/>
      <c r="N20" s="968"/>
      <c r="O20" s="967"/>
      <c r="P20" s="967"/>
      <c r="Q20" s="967"/>
      <c r="R20" s="967"/>
      <c r="S20" s="967"/>
      <c r="T20" s="967"/>
      <c r="U20" s="969"/>
      <c r="V20" s="969"/>
      <c r="W20" s="969"/>
      <c r="X20" s="969"/>
      <c r="Y20" s="969"/>
      <c r="Z20" s="969"/>
      <c r="AA20" s="969"/>
      <c r="AB20" s="967"/>
      <c r="AC20" s="968"/>
      <c r="AD20" s="968"/>
      <c r="AE20" s="968"/>
      <c r="AF20" s="968"/>
      <c r="AG20" s="968"/>
      <c r="AH20" s="968"/>
      <c r="AI20" s="968"/>
      <c r="AJ20" s="968"/>
      <c r="AK20" s="968"/>
      <c r="AL20" s="968"/>
      <c r="AM20" s="968"/>
      <c r="AN20" s="968"/>
      <c r="AO20" s="968"/>
      <c r="AP20" s="968"/>
      <c r="AQ20" s="968"/>
      <c r="AR20" s="968"/>
      <c r="AS20" s="968"/>
      <c r="AT20" s="968"/>
      <c r="AU20" s="968"/>
      <c r="AV20" s="968"/>
      <c r="AW20" s="968"/>
      <c r="AX20" s="968"/>
      <c r="AY20" s="968"/>
      <c r="AZ20" s="968"/>
      <c r="BA20" s="968"/>
      <c r="BB20" s="968"/>
      <c r="BC20" s="968"/>
      <c r="BD20" s="968"/>
      <c r="BE20" s="968"/>
      <c r="BF20" s="968"/>
      <c r="BG20" s="968"/>
      <c r="BH20" s="968"/>
      <c r="BI20" s="968"/>
      <c r="BJ20" s="968"/>
      <c r="BK20" s="968"/>
      <c r="BL20" s="968"/>
      <c r="BM20" s="968"/>
      <c r="BN20" s="968"/>
      <c r="BO20" s="968"/>
      <c r="BP20" s="968"/>
      <c r="BQ20" s="968"/>
      <c r="BR20" s="968"/>
      <c r="BS20" s="968"/>
      <c r="BT20" s="968"/>
      <c r="BU20" s="968"/>
      <c r="BV20" s="968"/>
      <c r="BW20" s="968"/>
      <c r="BX20" s="968"/>
      <c r="BY20" s="968"/>
      <c r="BZ20" s="968"/>
      <c r="CA20" s="968"/>
      <c r="CB20" s="968"/>
      <c r="CC20" s="968"/>
      <c r="CD20" s="968"/>
      <c r="CE20" s="968"/>
      <c r="CF20" s="968"/>
      <c r="CG20" s="968"/>
      <c r="CH20" s="968"/>
      <c r="CI20" s="968"/>
      <c r="CJ20" s="968"/>
      <c r="CK20" s="968"/>
      <c r="CL20" s="970"/>
      <c r="CM20" s="970"/>
      <c r="CN20" s="970"/>
      <c r="CO20" s="970"/>
      <c r="CP20" s="970"/>
      <c r="CQ20" s="970"/>
      <c r="CR20" s="970"/>
      <c r="CS20" s="970"/>
      <c r="CT20" s="970"/>
      <c r="CU20" s="970"/>
      <c r="CV20" s="970"/>
      <c r="CW20" s="970"/>
      <c r="CX20" s="970"/>
      <c r="CY20" s="970"/>
      <c r="CZ20" s="970"/>
      <c r="DA20" s="970"/>
      <c r="DB20" s="970"/>
      <c r="DC20" s="970"/>
      <c r="DD20" s="970"/>
      <c r="DE20" s="970"/>
      <c r="DF20" s="970"/>
      <c r="DG20" s="970"/>
      <c r="DH20" s="970"/>
      <c r="DI20" s="970"/>
      <c r="DJ20" s="970"/>
      <c r="DK20" s="970"/>
      <c r="DL20" s="970"/>
      <c r="DM20" s="970"/>
      <c r="DN20" s="970"/>
      <c r="DO20" s="970"/>
      <c r="DP20" s="970"/>
      <c r="DQ20" s="970"/>
      <c r="DR20" s="970"/>
      <c r="DS20" s="970"/>
      <c r="DT20" s="970"/>
      <c r="DU20" s="970"/>
      <c r="DV20" s="970"/>
      <c r="DW20" s="970"/>
      <c r="DX20" s="970"/>
      <c r="DY20" s="970"/>
      <c r="DZ20" s="970"/>
      <c r="EA20" s="970"/>
      <c r="EB20" s="970"/>
      <c r="EC20" s="970"/>
      <c r="ED20" s="970"/>
      <c r="EE20" s="970"/>
      <c r="EF20" s="970"/>
      <c r="EG20" s="970"/>
      <c r="EH20" s="970"/>
      <c r="EI20" s="970"/>
      <c r="EJ20" s="970"/>
      <c r="EK20" s="970"/>
      <c r="EL20" s="970"/>
      <c r="EM20" s="970"/>
      <c r="EN20" s="970"/>
      <c r="EO20" s="970"/>
      <c r="EP20" s="970"/>
      <c r="EQ20" s="970"/>
      <c r="ER20" s="970"/>
      <c r="ES20" s="970"/>
      <c r="ET20" s="970"/>
      <c r="EU20" s="970"/>
      <c r="EV20" s="970"/>
      <c r="EW20" s="970"/>
      <c r="EX20" s="970"/>
      <c r="EY20" s="970"/>
      <c r="EZ20" s="970"/>
      <c r="FA20" s="970"/>
      <c r="FB20" s="970"/>
      <c r="FC20" s="970"/>
      <c r="FD20" s="970"/>
      <c r="FE20" s="970"/>
      <c r="FF20" s="970"/>
      <c r="FG20" s="970"/>
      <c r="FH20" s="970"/>
      <c r="FI20" s="970"/>
      <c r="FJ20" s="970"/>
      <c r="FK20" s="970"/>
      <c r="FL20" s="970"/>
      <c r="FM20" s="970"/>
      <c r="FN20" s="970"/>
      <c r="FO20" s="970"/>
      <c r="FP20" s="970"/>
      <c r="FQ20" s="970"/>
      <c r="FR20" s="970"/>
      <c r="FS20" s="970"/>
      <c r="FT20" s="970"/>
      <c r="FU20" s="970"/>
      <c r="FV20" s="970"/>
      <c r="FW20" s="970"/>
      <c r="FX20" s="971"/>
    </row>
    <row r="21" spans="1:184" s="1796" customFormat="1" ht="12" customHeight="1">
      <c r="A21" s="726"/>
      <c r="B21" s="726"/>
      <c r="C21" s="726"/>
      <c r="D21" s="726"/>
      <c r="E21" s="726"/>
      <c r="F21" s="724"/>
      <c r="G21" s="724"/>
      <c r="H21" s="724"/>
      <c r="I21" s="724"/>
      <c r="J21" s="724"/>
      <c r="K21" s="724"/>
      <c r="L21" s="724"/>
      <c r="M21" s="724"/>
      <c r="N21" s="724"/>
      <c r="O21" s="724"/>
      <c r="P21" s="724"/>
      <c r="Q21" s="724"/>
      <c r="R21" s="724"/>
      <c r="S21" s="727"/>
      <c r="T21" s="727"/>
      <c r="U21" s="724"/>
      <c r="V21" s="724"/>
      <c r="W21" s="724"/>
      <c r="X21" s="724"/>
      <c r="Y21" s="724"/>
      <c r="Z21" s="724"/>
      <c r="AA21" s="724"/>
      <c r="AB21" s="724"/>
      <c r="AC21" s="724"/>
      <c r="AD21" s="724"/>
      <c r="AE21" s="724"/>
      <c r="AF21" s="724"/>
      <c r="AG21" s="724"/>
      <c r="AH21" s="724"/>
      <c r="AI21" s="724"/>
      <c r="AJ21" s="724"/>
      <c r="AK21" s="724"/>
      <c r="AL21" s="724"/>
      <c r="AM21" s="724"/>
      <c r="AN21" s="724"/>
      <c r="AO21" s="724"/>
      <c r="AP21" s="724"/>
      <c r="AQ21" s="724"/>
      <c r="AR21" s="724"/>
      <c r="AS21" s="724"/>
      <c r="AT21" s="724"/>
      <c r="AU21" s="724"/>
      <c r="AV21" s="724"/>
      <c r="AW21" s="724"/>
      <c r="AX21" s="724"/>
      <c r="AY21" s="724"/>
      <c r="AZ21" s="724"/>
      <c r="BA21" s="724"/>
      <c r="BB21" s="724"/>
      <c r="BC21" s="724"/>
      <c r="BD21" s="724"/>
      <c r="BE21" s="724"/>
      <c r="BF21" s="724"/>
      <c r="BG21" s="724"/>
      <c r="BH21" s="724"/>
      <c r="BI21" s="724"/>
      <c r="BJ21" s="724"/>
      <c r="BK21" s="724"/>
      <c r="BL21" s="724"/>
      <c r="BM21" s="724"/>
      <c r="BN21" s="724"/>
      <c r="BO21" s="724"/>
      <c r="BP21" s="724"/>
      <c r="BQ21" s="724"/>
      <c r="BR21" s="724"/>
      <c r="BS21" s="724"/>
      <c r="BT21" s="724"/>
      <c r="BU21" s="724"/>
      <c r="BV21" s="724"/>
      <c r="BW21" s="724"/>
      <c r="BX21" s="724"/>
      <c r="BY21" s="724"/>
      <c r="BZ21" s="724"/>
      <c r="CA21" s="724"/>
      <c r="CB21" s="724"/>
      <c r="CC21" s="724"/>
      <c r="CD21" s="724"/>
      <c r="CE21" s="724"/>
      <c r="CF21" s="724"/>
      <c r="CG21" s="724"/>
      <c r="CH21" s="724"/>
      <c r="CI21" s="724"/>
      <c r="CJ21" s="724"/>
      <c r="CK21" s="724"/>
      <c r="CL21" s="724"/>
      <c r="CM21" s="724"/>
      <c r="CN21" s="724"/>
      <c r="CO21" s="724"/>
      <c r="CP21" s="724"/>
      <c r="CQ21" s="724"/>
      <c r="CR21" s="724"/>
      <c r="CS21" s="724"/>
      <c r="CT21" s="724"/>
      <c r="CU21" s="724"/>
      <c r="CV21" s="724"/>
      <c r="CW21" s="724"/>
      <c r="CX21" s="724"/>
      <c r="CY21" s="724"/>
      <c r="CZ21" s="724"/>
      <c r="DA21" s="724"/>
      <c r="DB21" s="724"/>
      <c r="DC21" s="724"/>
      <c r="DD21" s="724"/>
      <c r="DE21" s="724"/>
      <c r="DF21" s="724"/>
      <c r="DG21" s="724"/>
      <c r="DH21" s="724"/>
      <c r="DI21" s="724"/>
      <c r="DJ21" s="724"/>
      <c r="DK21" s="724"/>
      <c r="DL21" s="724"/>
      <c r="DM21" s="724"/>
      <c r="DN21" s="724"/>
      <c r="DO21" s="724"/>
      <c r="DP21" s="724"/>
      <c r="DQ21" s="724"/>
      <c r="DR21" s="724"/>
      <c r="DS21" s="724"/>
      <c r="DT21" s="724"/>
      <c r="DU21" s="724"/>
      <c r="DV21" s="724"/>
      <c r="DW21" s="724"/>
      <c r="DX21" s="724"/>
      <c r="DY21" s="724"/>
      <c r="DZ21" s="724"/>
      <c r="EA21" s="724"/>
      <c r="EB21" s="724"/>
      <c r="EC21" s="724"/>
      <c r="ED21" s="724"/>
      <c r="EE21" s="724"/>
      <c r="EF21" s="724"/>
      <c r="EG21" s="724"/>
      <c r="EH21" s="724"/>
      <c r="EI21" s="724"/>
      <c r="EJ21" s="724"/>
      <c r="EK21" s="724"/>
      <c r="EL21" s="724"/>
      <c r="EM21" s="724"/>
      <c r="EN21" s="724"/>
      <c r="EO21" s="724"/>
      <c r="EP21" s="724"/>
      <c r="EQ21" s="724"/>
      <c r="ER21" s="724"/>
      <c r="ES21" s="724"/>
      <c r="ET21" s="724"/>
      <c r="EU21" s="724"/>
      <c r="EV21" s="724"/>
      <c r="EW21" s="724"/>
      <c r="EX21" s="724"/>
      <c r="EY21" s="724"/>
      <c r="EZ21" s="724"/>
      <c r="FA21" s="724"/>
      <c r="FB21" s="724"/>
      <c r="FC21" s="724"/>
      <c r="FD21" s="724"/>
      <c r="FE21" s="724"/>
      <c r="FF21" s="724"/>
      <c r="FG21" s="724"/>
      <c r="FH21" s="724"/>
      <c r="FI21" s="724"/>
      <c r="FJ21" s="724"/>
      <c r="FK21" s="724"/>
      <c r="FL21" s="724"/>
      <c r="FM21" s="724"/>
      <c r="FN21" s="724"/>
      <c r="FO21" s="724"/>
      <c r="FP21" s="724"/>
      <c r="FQ21" s="724"/>
      <c r="FR21" s="724"/>
      <c r="FS21" s="724"/>
      <c r="FT21" s="724"/>
      <c r="FU21" s="724"/>
      <c r="FV21" s="724"/>
      <c r="FW21" s="724"/>
      <c r="FX21" s="726"/>
      <c r="FY21" s="726"/>
      <c r="FZ21" s="726"/>
      <c r="GA21" s="726"/>
      <c r="GB21" s="726"/>
    </row>
    <row r="22" spans="1:184" s="1796" customFormat="1" ht="12" customHeight="1">
      <c r="A22" s="726"/>
      <c r="B22" s="726"/>
      <c r="C22" s="726"/>
      <c r="D22" s="726"/>
      <c r="E22" s="726"/>
      <c r="FX22" s="726"/>
      <c r="FY22" s="726"/>
      <c r="FZ22" s="726"/>
      <c r="GA22" s="726"/>
      <c r="GB22" s="726"/>
    </row>
    <row r="23" spans="1:184" s="1802" customFormat="1" ht="12" customHeight="1">
      <c r="A23" s="839"/>
      <c r="B23" s="839"/>
      <c r="C23" s="839"/>
      <c r="D23" s="839"/>
      <c r="E23" s="839"/>
      <c r="O23" s="840"/>
      <c r="P23" s="840"/>
      <c r="Q23" s="840"/>
      <c r="R23" s="840"/>
      <c r="S23" s="840"/>
      <c r="T23" s="840"/>
      <c r="U23" s="840"/>
      <c r="V23" s="840"/>
      <c r="W23" s="840"/>
      <c r="X23" s="840"/>
      <c r="Y23" s="840"/>
      <c r="Z23" s="840"/>
      <c r="AA23" s="840"/>
      <c r="AB23" s="840"/>
      <c r="AC23" s="840"/>
      <c r="AD23" s="840"/>
      <c r="AE23" s="840"/>
      <c r="AF23" s="840"/>
      <c r="AG23" s="840"/>
      <c r="AH23" s="840"/>
      <c r="AI23" s="840"/>
      <c r="AJ23" s="840"/>
      <c r="AK23" s="840"/>
      <c r="AL23" s="840"/>
      <c r="AM23" s="840"/>
      <c r="AN23" s="840"/>
      <c r="AO23" s="840"/>
      <c r="AP23" s="840"/>
      <c r="AQ23" s="840"/>
      <c r="AR23" s="840"/>
      <c r="AS23" s="840"/>
      <c r="AT23" s="840"/>
      <c r="AU23" s="840"/>
      <c r="AV23" s="840"/>
      <c r="AW23" s="840"/>
      <c r="AX23" s="840"/>
      <c r="AY23" s="840"/>
      <c r="AZ23" s="840"/>
      <c r="BA23" s="840"/>
      <c r="BB23" s="840"/>
      <c r="BC23" s="840"/>
      <c r="BD23" s="840"/>
      <c r="BE23" s="840"/>
      <c r="BF23" s="840"/>
      <c r="BG23" s="840"/>
      <c r="BH23" s="840"/>
      <c r="BI23" s="840"/>
      <c r="BJ23" s="840"/>
      <c r="BK23" s="840"/>
      <c r="BL23" s="840"/>
      <c r="BM23" s="840"/>
      <c r="BN23" s="840"/>
      <c r="BO23" s="840"/>
      <c r="BP23" s="840"/>
      <c r="BQ23" s="840"/>
      <c r="BR23" s="840"/>
      <c r="BS23" s="840"/>
      <c r="BT23" s="841"/>
      <c r="BU23" s="841"/>
      <c r="BV23" s="841"/>
      <c r="BW23" s="841"/>
      <c r="BX23" s="841"/>
      <c r="BY23" s="841"/>
      <c r="BZ23" s="841"/>
      <c r="CA23" s="841"/>
      <c r="CB23" s="841"/>
      <c r="CC23" s="841"/>
      <c r="CD23" s="841"/>
      <c r="CE23" s="841"/>
      <c r="CF23" s="841"/>
      <c r="CG23" s="841"/>
      <c r="CH23" s="841"/>
      <c r="CI23" s="841"/>
      <c r="CJ23" s="841"/>
      <c r="CK23" s="841"/>
      <c r="CL23" s="841"/>
      <c r="CM23" s="841"/>
      <c r="CN23" s="841"/>
      <c r="CO23" s="841"/>
      <c r="CP23" s="841"/>
      <c r="CQ23" s="841"/>
      <c r="CR23" s="841"/>
      <c r="CS23" s="841"/>
      <c r="CT23" s="841"/>
      <c r="CU23" s="841"/>
      <c r="CV23" s="841"/>
      <c r="CW23" s="841"/>
      <c r="CX23" s="841"/>
      <c r="CY23" s="841"/>
      <c r="CZ23" s="841"/>
      <c r="DA23" s="841"/>
      <c r="DB23" s="841"/>
      <c r="DC23" s="841"/>
      <c r="DD23" s="841"/>
      <c r="DE23" s="841"/>
      <c r="DF23" s="841"/>
      <c r="DG23" s="841"/>
      <c r="DH23" s="841"/>
      <c r="DI23" s="841"/>
      <c r="DJ23" s="841"/>
      <c r="DK23" s="841"/>
      <c r="DL23" s="841"/>
      <c r="DM23" s="841"/>
      <c r="DN23" s="841"/>
      <c r="DO23" s="841"/>
      <c r="DP23" s="841"/>
      <c r="DQ23" s="841"/>
      <c r="DR23" s="841"/>
      <c r="DS23" s="841"/>
      <c r="DT23" s="841"/>
      <c r="DU23" s="841"/>
      <c r="DV23" s="841"/>
      <c r="DW23" s="841"/>
      <c r="DX23" s="841"/>
      <c r="FX23" s="839"/>
      <c r="FY23" s="839"/>
      <c r="FZ23" s="839"/>
      <c r="GA23" s="839"/>
      <c r="GB23" s="839"/>
    </row>
    <row r="24" spans="1:184" ht="12" customHeight="1">
      <c r="S24" s="723"/>
      <c r="T24" s="723"/>
      <c r="U24" s="723"/>
      <c r="V24" s="723"/>
      <c r="W24" s="723"/>
      <c r="X24" s="723"/>
      <c r="Y24" s="723"/>
      <c r="Z24" s="723"/>
      <c r="AA24" s="723"/>
      <c r="AB24" s="723"/>
      <c r="FX24" s="723"/>
      <c r="FY24" s="723"/>
      <c r="FZ24" s="723"/>
      <c r="GA24" s="723"/>
      <c r="GB24" s="723"/>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sheetPr>
    <tabColor theme="9"/>
    <pageSetUpPr fitToPage="1"/>
  </sheetPr>
  <dimension ref="A1:W39"/>
  <sheetViews>
    <sheetView showGridLines="0" topLeftCell="C21" zoomScale="90" workbookViewId="0">
      <selection activeCell="J42" sqref="J42"/>
    </sheetView>
  </sheetViews>
  <sheetFormatPr defaultColWidth="10.5703125" defaultRowHeight="15" customHeight="1"/>
  <cols>
    <col min="1" max="1" width="9.140625" style="1910" hidden="1" customWidth="1"/>
    <col min="2" max="2" width="9.140625" style="1877" hidden="1" customWidth="1"/>
    <col min="3" max="3" width="4.7109375" style="1895" customWidth="1"/>
    <col min="4" max="4" width="6.28515625" style="1877" customWidth="1"/>
    <col min="5" max="5" width="36.7109375" style="1877" customWidth="1"/>
    <col min="6" max="6" width="9.5703125" style="1877" customWidth="1"/>
    <col min="7" max="7" width="25.7109375" style="1877" hidden="1" customWidth="1"/>
    <col min="8" max="8" width="33.7109375" style="1877" hidden="1" customWidth="1"/>
    <col min="9" max="9" width="25.7109375" style="1877" customWidth="1"/>
    <col min="10" max="10" width="33.7109375" style="1877" customWidth="1"/>
    <col min="11" max="11" width="25.7109375" style="1877" customWidth="1"/>
    <col min="12" max="12" width="33.7109375" style="1877" customWidth="1"/>
    <col min="13" max="13" width="93.42578125" style="1907" customWidth="1"/>
    <col min="14" max="22" width="10.5703125" style="1877"/>
    <col min="23" max="23" width="10.5703125" style="1914"/>
    <col min="24" max="16384" width="10.5703125" style="1872"/>
  </cols>
  <sheetData>
    <row r="1" spans="1:23" s="1907" customFormat="1" ht="15" hidden="1" customHeight="1">
      <c r="C1" s="1908"/>
      <c r="G1" s="1907">
        <v>4</v>
      </c>
      <c r="I1" s="1907">
        <v>4</v>
      </c>
      <c r="K1" s="1907">
        <v>4</v>
      </c>
      <c r="W1" s="1909"/>
    </row>
    <row r="2" spans="1:23" s="1907" customFormat="1" ht="15" hidden="1" customHeight="1">
      <c r="C2" s="1908"/>
      <c r="W2" s="1909"/>
    </row>
    <row r="3" spans="1:23" ht="22.5" hidden="1" customHeight="1">
      <c r="A3" s="1877"/>
      <c r="B3" s="2256"/>
      <c r="C3" s="2257"/>
      <c r="D3" s="1933" t="str">
        <f>B3&amp;".1"</f>
        <v>.1</v>
      </c>
      <c r="E3" s="1934" t="s">
        <v>768</v>
      </c>
      <c r="F3" s="1935" t="s">
        <v>230</v>
      </c>
      <c r="G3" s="1924"/>
      <c r="H3" s="1936"/>
      <c r="I3" s="1924"/>
      <c r="J3" s="1936"/>
      <c r="K3" s="1924"/>
      <c r="L3" s="1936"/>
      <c r="M3" s="1913" t="s">
        <v>769</v>
      </c>
    </row>
    <row r="4" spans="1:23" ht="15" hidden="1" customHeight="1">
      <c r="A4" s="1877"/>
      <c r="B4" s="2256"/>
      <c r="C4" s="2257"/>
      <c r="D4" s="1933" t="str">
        <f>B3&amp;".2"</f>
        <v>.2</v>
      </c>
      <c r="E4" s="1934" t="s">
        <v>770</v>
      </c>
      <c r="F4" s="1935" t="s">
        <v>230</v>
      </c>
      <c r="G4" s="1937" t="s">
        <v>1</v>
      </c>
      <c r="H4" s="1936"/>
      <c r="I4" s="1937" t="s">
        <v>1</v>
      </c>
      <c r="J4" s="1936"/>
      <c r="K4" s="1937" t="s">
        <v>1</v>
      </c>
      <c r="L4" s="1936"/>
      <c r="M4" s="1913" t="s">
        <v>771</v>
      </c>
    </row>
    <row r="5" spans="1:23" s="1907" customFormat="1" ht="15" hidden="1" customHeight="1">
      <c r="C5" s="1908"/>
      <c r="W5" s="1909"/>
    </row>
    <row r="6" spans="1:23" ht="22.5" hidden="1" customHeight="1">
      <c r="A6" s="1877"/>
      <c r="B6" s="2256"/>
      <c r="C6" s="2257"/>
      <c r="D6" s="1933" t="str">
        <f>B6&amp;".1"</f>
        <v>.1</v>
      </c>
      <c r="E6" s="1934" t="s">
        <v>772</v>
      </c>
      <c r="F6" s="1935" t="s">
        <v>230</v>
      </c>
      <c r="G6" s="1924"/>
      <c r="H6" s="1936"/>
      <c r="I6" s="1924"/>
      <c r="J6" s="1936"/>
      <c r="K6" s="1924"/>
      <c r="L6" s="1936"/>
      <c r="M6" s="1913" t="s">
        <v>773</v>
      </c>
    </row>
    <row r="7" spans="1:23" ht="15" hidden="1" customHeight="1">
      <c r="A7" s="1877"/>
      <c r="B7" s="2256"/>
      <c r="C7" s="2257"/>
      <c r="D7" s="1933" t="str">
        <f>B6&amp;".2"</f>
        <v>.2</v>
      </c>
      <c r="E7" s="1934" t="s">
        <v>770</v>
      </c>
      <c r="F7" s="1935" t="s">
        <v>230</v>
      </c>
      <c r="G7" s="1937" t="s">
        <v>1</v>
      </c>
      <c r="H7" s="1936"/>
      <c r="I7" s="1937" t="s">
        <v>1</v>
      </c>
      <c r="J7" s="1936"/>
      <c r="K7" s="1937" t="s">
        <v>1</v>
      </c>
      <c r="L7" s="1936"/>
      <c r="M7" s="1913" t="s">
        <v>771</v>
      </c>
    </row>
    <row r="8" spans="1:23" s="1907" customFormat="1" ht="15" hidden="1" customHeight="1">
      <c r="C8" s="1908"/>
      <c r="W8" s="1909"/>
    </row>
    <row r="9" spans="1:23" ht="22.5" hidden="1" customHeight="1">
      <c r="A9" s="1877"/>
      <c r="B9" s="2256"/>
      <c r="C9" s="2257"/>
      <c r="D9" s="1933" t="str">
        <f>B9&amp;".1"</f>
        <v>.1</v>
      </c>
      <c r="E9" s="1934" t="s">
        <v>774</v>
      </c>
      <c r="F9" s="1935" t="s">
        <v>230</v>
      </c>
      <c r="G9" s="1938" t="s">
        <v>1</v>
      </c>
      <c r="H9" s="1936" t="s">
        <v>1</v>
      </c>
      <c r="I9" s="1939" t="s">
        <v>1</v>
      </c>
      <c r="J9" s="1940" t="s">
        <v>1</v>
      </c>
      <c r="K9" s="1939" t="s">
        <v>1</v>
      </c>
      <c r="L9" s="1940" t="s">
        <v>1</v>
      </c>
      <c r="M9" s="1913"/>
    </row>
    <row r="10" spans="1:23" ht="15" hidden="1" customHeight="1">
      <c r="A10" s="1877"/>
      <c r="B10" s="2256"/>
      <c r="C10" s="2257"/>
      <c r="D10" s="1933" t="str">
        <f>B9&amp;".2"</f>
        <v>.2</v>
      </c>
      <c r="E10" s="1934" t="s">
        <v>775</v>
      </c>
      <c r="F10" s="1935" t="s">
        <v>230</v>
      </c>
      <c r="G10" s="1941" t="s">
        <v>1</v>
      </c>
      <c r="H10" s="1936" t="s">
        <v>1</v>
      </c>
      <c r="I10" s="1942" t="s">
        <v>1</v>
      </c>
      <c r="J10" s="1940" t="s">
        <v>1</v>
      </c>
      <c r="K10" s="1942" t="s">
        <v>1</v>
      </c>
      <c r="L10" s="1940" t="s">
        <v>1</v>
      </c>
      <c r="M10" s="1913" t="s">
        <v>776</v>
      </c>
    </row>
    <row r="11" spans="1:23" ht="15" hidden="1" customHeight="1">
      <c r="A11" s="1877"/>
      <c r="B11" s="2256"/>
      <c r="C11" s="2257"/>
      <c r="D11" s="1933" t="str">
        <f>B9&amp;".3"</f>
        <v>.3</v>
      </c>
      <c r="E11" s="1934" t="s">
        <v>777</v>
      </c>
      <c r="F11" s="1935" t="s">
        <v>230</v>
      </c>
      <c r="G11" s="1941" t="s">
        <v>1</v>
      </c>
      <c r="H11" s="1936" t="s">
        <v>1</v>
      </c>
      <c r="I11" s="1942" t="s">
        <v>1</v>
      </c>
      <c r="J11" s="1940" t="s">
        <v>1</v>
      </c>
      <c r="K11" s="1942" t="s">
        <v>1</v>
      </c>
      <c r="L11" s="1940" t="s">
        <v>1</v>
      </c>
      <c r="M11" s="1913" t="s">
        <v>778</v>
      </c>
    </row>
    <row r="12" spans="1:23" s="1907" customFormat="1" ht="15" hidden="1" customHeight="1">
      <c r="C12" s="1908"/>
      <c r="W12" s="1909"/>
    </row>
    <row r="13" spans="1:23" ht="33.75" hidden="1" customHeight="1">
      <c r="A13" s="1877"/>
      <c r="B13" s="2256"/>
      <c r="C13" s="2257"/>
      <c r="D13" s="1933" t="str">
        <f>B13&amp;".1"</f>
        <v>.1</v>
      </c>
      <c r="E13" s="1934" t="s">
        <v>779</v>
      </c>
      <c r="F13" s="1935" t="s">
        <v>230</v>
      </c>
      <c r="G13" s="1938" t="s">
        <v>1</v>
      </c>
      <c r="H13" s="1936" t="s">
        <v>1</v>
      </c>
      <c r="I13" s="1939" t="s">
        <v>1</v>
      </c>
      <c r="J13" s="1940" t="s">
        <v>1</v>
      </c>
      <c r="K13" s="1939" t="s">
        <v>1</v>
      </c>
      <c r="L13" s="1940" t="s">
        <v>1</v>
      </c>
      <c r="M13" s="1913" t="s">
        <v>780</v>
      </c>
    </row>
    <row r="14" spans="1:23" ht="15" hidden="1" customHeight="1">
      <c r="B14" s="2256"/>
      <c r="C14" s="2257"/>
      <c r="D14" s="1933" t="str">
        <f>B13&amp;".2"</f>
        <v>.2</v>
      </c>
      <c r="E14" s="1934" t="s">
        <v>781</v>
      </c>
      <c r="F14" s="1935" t="s">
        <v>230</v>
      </c>
      <c r="G14" s="1941" t="s">
        <v>1</v>
      </c>
      <c r="H14" s="1936" t="s">
        <v>1</v>
      </c>
      <c r="I14" s="1942" t="s">
        <v>1</v>
      </c>
      <c r="J14" s="1940" t="s">
        <v>1</v>
      </c>
      <c r="K14" s="1942" t="s">
        <v>1</v>
      </c>
      <c r="L14" s="1940" t="s">
        <v>1</v>
      </c>
      <c r="M14" s="1913" t="s">
        <v>782</v>
      </c>
    </row>
    <row r="15" spans="1:23" s="1907" customFormat="1" ht="15" hidden="1" customHeight="1">
      <c r="C15" s="1908"/>
      <c r="W15" s="1909"/>
    </row>
    <row r="16" spans="1:23" s="1907" customFormat="1" ht="15" hidden="1" customHeight="1">
      <c r="C16" s="1908"/>
      <c r="W16" s="1909"/>
    </row>
    <row r="17" spans="1:23" s="1907" customFormat="1" ht="15" hidden="1" customHeight="1">
      <c r="C17" s="1908"/>
      <c r="W17" s="1909"/>
    </row>
    <row r="18" spans="1:23" s="1907" customFormat="1" ht="15" hidden="1" customHeight="1">
      <c r="C18" s="1908"/>
      <c r="W18" s="1909"/>
    </row>
    <row r="19" spans="1:23" s="1907" customFormat="1" ht="15" hidden="1" customHeight="1">
      <c r="C19" s="1908"/>
      <c r="W19" s="1909"/>
    </row>
    <row r="20" spans="1:23" s="1907" customFormat="1" ht="15" hidden="1" customHeight="1">
      <c r="C20" s="1908"/>
      <c r="W20" s="1909"/>
    </row>
    <row r="22" spans="1:23" ht="111" customHeight="1">
      <c r="D22" s="225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8"/>
      <c r="F22" s="2258"/>
      <c r="G22" s="2258"/>
      <c r="H22" s="2258"/>
      <c r="I22" s="2258"/>
      <c r="J22" s="1915"/>
      <c r="K22" s="1943"/>
      <c r="L22" s="1943"/>
    </row>
    <row r="23" spans="1:23" ht="30.75" customHeight="1">
      <c r="D23" s="2259" t="str">
        <f>IF(org=0,"Не определено",org)</f>
        <v>Акционерное общество "Уральский завод металлоконструкций", г.Екатеринбург</v>
      </c>
      <c r="E23" s="2259"/>
      <c r="F23" s="2259"/>
      <c r="G23" s="2259"/>
      <c r="H23" s="2259"/>
      <c r="I23" s="2259"/>
      <c r="J23" s="1915"/>
      <c r="K23" s="1944"/>
      <c r="L23" s="1944"/>
    </row>
    <row r="24" spans="1:23" ht="15" customHeight="1">
      <c r="G24" s="1907">
        <v>22</v>
      </c>
      <c r="H24" s="1916"/>
      <c r="I24" s="1907">
        <v>22</v>
      </c>
      <c r="J24" s="1916"/>
      <c r="K24" s="1907" t="s">
        <v>1</v>
      </c>
      <c r="L24" s="1916"/>
    </row>
    <row r="25" spans="1:23" s="1877" customFormat="1" ht="0.75" customHeight="1">
      <c r="A25" s="1910"/>
      <c r="C25" s="1895"/>
      <c r="G25" s="1907"/>
      <c r="H25" s="1916"/>
      <c r="I25" s="1907" t="s">
        <v>51</v>
      </c>
      <c r="J25" s="1916"/>
      <c r="K25" s="1907" t="s">
        <v>57</v>
      </c>
      <c r="L25" s="1916"/>
      <c r="M25" s="1907"/>
      <c r="W25" s="1914"/>
    </row>
    <row r="26" spans="1:23" ht="47.25" customHeight="1">
      <c r="D26" s="1917"/>
      <c r="E26" s="2260" t="s">
        <v>39</v>
      </c>
      <c r="F26" s="2261"/>
      <c r="G26" s="2262" t="str">
        <f>IF(G25="","",INDEX(DIFFERENTIATION_UNMERGE_VD,MATCH(G25,DIFFERENTIATION_ID_DIFF,0)))</f>
        <v/>
      </c>
      <c r="H26" s="2263"/>
      <c r="I26" s="2262"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263"/>
      <c r="K26" s="2262" t="str">
        <f>IF(K25="","",INDEX(DIFFERENTIATION_UNMERGE_VD,MATCH(K25,DIFFERENTIATION_ID_DIFF,0)))</f>
        <v>Производство. Теплоноситель; Передача. Теплоноситель; Сбыт. Теплоноситель</v>
      </c>
      <c r="L26" s="2263"/>
      <c r="M26" s="2266" t="s">
        <v>225</v>
      </c>
    </row>
    <row r="27" spans="1:23" s="1877" customFormat="1" ht="15" customHeight="1">
      <c r="A27" s="1910"/>
      <c r="C27" s="1895"/>
      <c r="D27" s="1917"/>
      <c r="E27" s="2260" t="s">
        <v>482</v>
      </c>
      <c r="F27" s="2261"/>
      <c r="G27" s="2262" t="str">
        <f>IF(G25="","",INDEX(DIFFERENTIATION_UNMERGE_AREA,MATCH(G25,DIFFERENTIATION_ID_DIFF,0)))</f>
        <v/>
      </c>
      <c r="H27" s="2263"/>
      <c r="I27" s="2262" t="str">
        <f>IF(I25="","",INDEX(DIFFERENTIATION_UNMERGE_AREA,MATCH(I25,DIFFERENTIATION_ID_DIFF,0)))</f>
        <v>без дифференциации</v>
      </c>
      <c r="J27" s="2263"/>
      <c r="K27" s="2262" t="str">
        <f>IF(K25="","",INDEX(DIFFERENTIATION_UNMERGE_AREA,MATCH(K25,DIFFERENTIATION_ID_DIFF,0)))</f>
        <v>без дифференциации</v>
      </c>
      <c r="L27" s="2263"/>
      <c r="M27" s="2267"/>
      <c r="W27" s="1914"/>
    </row>
    <row r="28" spans="1:23" s="1877" customFormat="1" ht="15" customHeight="1">
      <c r="A28" s="1910"/>
      <c r="C28" s="1895"/>
      <c r="D28" s="1917"/>
      <c r="E28" s="2260" t="s">
        <v>483</v>
      </c>
      <c r="F28" s="2261"/>
      <c r="G28" s="2262" t="str">
        <f>IF(G25="","",INDEX(DIFFERENTIATION_UNMERGE_SYSTEM,MATCH(G25,DIFFERENTIATION_ID_DIFF,0)))</f>
        <v/>
      </c>
      <c r="H28" s="2263"/>
      <c r="I28" s="2262" t="str">
        <f>IF(I25="","",INDEX(DIFFERENTIATION_UNMERGE_SYSTEM,MATCH(I25,DIFFERENTIATION_ID_DIFF,0)))</f>
        <v>без дифференциации</v>
      </c>
      <c r="J28" s="2263"/>
      <c r="K28" s="2262" t="str">
        <f>IF(K25="","",INDEX(DIFFERENTIATION_UNMERGE_SYSTEM,MATCH(K25,DIFFERENTIATION_ID_DIFF,0)))</f>
        <v>без дифференциации</v>
      </c>
      <c r="L28" s="2263"/>
      <c r="M28" s="2267"/>
      <c r="W28" s="1914"/>
    </row>
    <row r="29" spans="1:23" s="1877" customFormat="1" ht="15" customHeight="1">
      <c r="A29" s="1910"/>
      <c r="C29" s="1895"/>
      <c r="D29" s="2264" t="s">
        <v>224</v>
      </c>
      <c r="E29" s="2265"/>
      <c r="F29" s="2265"/>
      <c r="G29" s="1919"/>
      <c r="H29" s="1919"/>
      <c r="I29" s="1919"/>
      <c r="J29" s="1945"/>
      <c r="K29" s="1919"/>
      <c r="L29" s="1919"/>
      <c r="M29" s="2267"/>
      <c r="W29" s="1914"/>
    </row>
    <row r="30" spans="1:23" ht="33.75" customHeight="1">
      <c r="D30" s="1881" t="s">
        <v>22</v>
      </c>
      <c r="E30" s="1881" t="s">
        <v>226</v>
      </c>
      <c r="F30" s="1881" t="s">
        <v>484</v>
      </c>
      <c r="G30" s="1920" t="s">
        <v>227</v>
      </c>
      <c r="H30" s="1881" t="s">
        <v>316</v>
      </c>
      <c r="I30" s="1920" t="s">
        <v>227</v>
      </c>
      <c r="J30" s="1881" t="s">
        <v>316</v>
      </c>
      <c r="K30" s="1920" t="s">
        <v>227</v>
      </c>
      <c r="L30" s="1881" t="s">
        <v>316</v>
      </c>
      <c r="M30" s="2268"/>
    </row>
    <row r="31" spans="1:23" ht="15" hidden="1" customHeight="1">
      <c r="D31" s="1883"/>
      <c r="E31" s="1883"/>
      <c r="F31" s="1883"/>
      <c r="G31" s="1895"/>
      <c r="H31" s="1895"/>
      <c r="I31" s="1895"/>
      <c r="J31" s="1895"/>
      <c r="K31" s="1895"/>
      <c r="L31" s="1895"/>
      <c r="M31" s="1913"/>
    </row>
    <row r="32" spans="1:23" ht="37.5" customHeight="1">
      <c r="A32" s="1877"/>
      <c r="B32" s="1877" t="s">
        <v>783</v>
      </c>
      <c r="C32" s="1891"/>
      <c r="D32" s="1946">
        <v>1</v>
      </c>
      <c r="E32" s="1947" t="s">
        <v>784</v>
      </c>
      <c r="F32" s="1935" t="s">
        <v>230</v>
      </c>
      <c r="G32" s="1935" t="s">
        <v>230</v>
      </c>
      <c r="H32" s="1935" t="s">
        <v>230</v>
      </c>
      <c r="I32" s="1935" t="s">
        <v>230</v>
      </c>
      <c r="J32" s="1935" t="s">
        <v>230</v>
      </c>
      <c r="K32" s="1935" t="s">
        <v>230</v>
      </c>
      <c r="L32" s="1935" t="s">
        <v>230</v>
      </c>
      <c r="M32" s="1913"/>
    </row>
    <row r="33" spans="1:23" ht="11.25" customHeight="1">
      <c r="A33" s="1877"/>
      <c r="C33" s="1877"/>
      <c r="D33" s="1929"/>
      <c r="E33" s="1901" t="s">
        <v>504</v>
      </c>
      <c r="F33" s="1930"/>
      <c r="G33" s="1930"/>
      <c r="H33" s="1930"/>
      <c r="I33" s="1930"/>
      <c r="J33" s="1930"/>
      <c r="K33" s="1930"/>
      <c r="L33" s="1930"/>
      <c r="M33" s="1948"/>
      <c r="W33" s="1877"/>
    </row>
    <row r="34" spans="1:23" ht="22.5" customHeight="1">
      <c r="A34" s="1877"/>
      <c r="B34" s="1915" t="s">
        <v>785</v>
      </c>
      <c r="C34" s="1891"/>
      <c r="D34" s="1946">
        <v>2</v>
      </c>
      <c r="E34" s="1947" t="s">
        <v>786</v>
      </c>
      <c r="F34" s="1935" t="s">
        <v>230</v>
      </c>
      <c r="G34" s="1935" t="s">
        <v>230</v>
      </c>
      <c r="H34" s="1935" t="s">
        <v>230</v>
      </c>
      <c r="I34" s="1935"/>
      <c r="J34" s="1935"/>
      <c r="K34" s="1935" t="s">
        <v>230</v>
      </c>
      <c r="L34" s="1935" t="s">
        <v>230</v>
      </c>
      <c r="M34" s="1913"/>
    </row>
    <row r="35" spans="1:23" ht="11.25" customHeight="1">
      <c r="A35" s="1877"/>
      <c r="C35" s="1877"/>
      <c r="D35" s="1929"/>
      <c r="E35" s="1901" t="s">
        <v>787</v>
      </c>
      <c r="F35" s="1930"/>
      <c r="G35" s="1949"/>
      <c r="H35" s="1930"/>
      <c r="I35" s="1949"/>
      <c r="J35" s="1930"/>
      <c r="K35" s="1949"/>
      <c r="L35" s="1930"/>
      <c r="M35" s="1948"/>
      <c r="W35" s="1877"/>
    </row>
    <row r="36" spans="1:23" ht="88.5" customHeight="1">
      <c r="A36" s="1877"/>
      <c r="B36" s="1877" t="s">
        <v>788</v>
      </c>
      <c r="C36" s="1891"/>
      <c r="D36" s="1946">
        <v>3</v>
      </c>
      <c r="E36" s="1947" t="s">
        <v>789</v>
      </c>
      <c r="F36" s="1950" t="s">
        <v>230</v>
      </c>
      <c r="G36" s="1951" t="s">
        <v>790</v>
      </c>
      <c r="H36" s="1935" t="s">
        <v>230</v>
      </c>
      <c r="I36" s="1951" t="s">
        <v>791</v>
      </c>
      <c r="J36" s="1935" t="s">
        <v>230</v>
      </c>
      <c r="K36" s="1951" t="s">
        <v>791</v>
      </c>
      <c r="L36" s="1935" t="s">
        <v>230</v>
      </c>
      <c r="M36" s="1913" t="s">
        <v>792</v>
      </c>
    </row>
    <row r="37" spans="1:23" ht="11.25" customHeight="1">
      <c r="A37" s="1877"/>
      <c r="C37" s="1877"/>
      <c r="D37" s="1929"/>
      <c r="E37" s="1901" t="s">
        <v>793</v>
      </c>
      <c r="F37" s="1930"/>
      <c r="G37" s="1949"/>
      <c r="H37" s="1949"/>
      <c r="I37" s="1949"/>
      <c r="J37" s="1949"/>
      <c r="K37" s="1949"/>
      <c r="L37" s="1949"/>
      <c r="M37" s="1948"/>
      <c r="W37" s="1877"/>
    </row>
    <row r="38" spans="1:23" ht="81.75" customHeight="1">
      <c r="A38" s="1877"/>
      <c r="B38" s="1877" t="s">
        <v>794</v>
      </c>
      <c r="C38" s="1891"/>
      <c r="D38" s="1946">
        <v>4</v>
      </c>
      <c r="E38" s="1947" t="s">
        <v>795</v>
      </c>
      <c r="F38" s="1950" t="s">
        <v>230</v>
      </c>
      <c r="G38" s="1951" t="s">
        <v>790</v>
      </c>
      <c r="H38" s="1881" t="s">
        <v>230</v>
      </c>
      <c r="I38" s="1951" t="s">
        <v>791</v>
      </c>
      <c r="J38" s="1881" t="s">
        <v>230</v>
      </c>
      <c r="K38" s="1951" t="s">
        <v>791</v>
      </c>
      <c r="L38" s="1881" t="s">
        <v>230</v>
      </c>
      <c r="M38" s="1952" t="s">
        <v>796</v>
      </c>
    </row>
    <row r="39" spans="1:23" ht="11.25" customHeight="1">
      <c r="A39" s="1877"/>
      <c r="C39" s="1877"/>
      <c r="D39" s="1929"/>
      <c r="E39" s="1901" t="s">
        <v>797</v>
      </c>
      <c r="F39" s="1930"/>
      <c r="G39" s="1930"/>
      <c r="H39" s="1953"/>
      <c r="I39" s="1930"/>
      <c r="J39" s="1953"/>
      <c r="K39" s="1930"/>
      <c r="L39" s="1953"/>
      <c r="M39" s="1948"/>
      <c r="W39" s="1877"/>
    </row>
  </sheetData>
  <sheetProtection formatColumns="0" formatRows="0" insertRows="0" deleteColumns="0" deleteRows="0" sort="0" autoFilter="0"/>
  <mergeCells count="24">
    <mergeCell ref="D29:F29"/>
    <mergeCell ref="K26:L26"/>
    <mergeCell ref="M26:M30"/>
    <mergeCell ref="E27:F27"/>
    <mergeCell ref="G27:H27"/>
    <mergeCell ref="I27:J27"/>
    <mergeCell ref="K27:L27"/>
    <mergeCell ref="E28:F28"/>
    <mergeCell ref="G28:H28"/>
    <mergeCell ref="I28:J28"/>
    <mergeCell ref="K28:L28"/>
    <mergeCell ref="B13:B14"/>
    <mergeCell ref="C13:C14"/>
    <mergeCell ref="D22:I22"/>
    <mergeCell ref="D23:I23"/>
    <mergeCell ref="E26:F26"/>
    <mergeCell ref="G26:H26"/>
    <mergeCell ref="I26:J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866141732283472" right="0.70866141732283472" top="0.74803149606299213" bottom="0.74803149606299213" header="0.31496062992125984" footer="0.31496062992125984"/>
  <pageSetup paperSize="9" scale="56" orientation="landscape" r:id="rId1"/>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pageSetUpPr fitToPage="1"/>
  </sheetPr>
  <dimension ref="A1:S22"/>
  <sheetViews>
    <sheetView showGridLines="0" topLeftCell="C4" zoomScale="90" workbookViewId="0">
      <selection activeCell="D6" sqref="D6:H6"/>
    </sheetView>
  </sheetViews>
  <sheetFormatPr defaultColWidth="10.5703125" defaultRowHeight="15" customHeight="1"/>
  <cols>
    <col min="1" max="1" width="9.140625" style="1910" hidden="1" customWidth="1"/>
    <col min="2" max="2" width="9.140625" style="1877" hidden="1" customWidth="1"/>
    <col min="3" max="3" width="4.7109375" style="1895" customWidth="1"/>
    <col min="4" max="4" width="6.28515625" style="1877" customWidth="1"/>
    <col min="5" max="5" width="36.7109375" style="1877" customWidth="1"/>
    <col min="6" max="6" width="9.5703125" style="1877" customWidth="1"/>
    <col min="7" max="7" width="42.42578125" style="1877" hidden="1" customWidth="1"/>
    <col min="8" max="8" width="40.7109375" style="1877" customWidth="1"/>
    <col min="9" max="9" width="42.42578125" style="1877" customWidth="1"/>
    <col min="10" max="10" width="93.42578125" style="1907" customWidth="1"/>
    <col min="11" max="18" width="10.5703125" style="1877"/>
    <col min="19" max="19" width="10.5703125" style="1914"/>
    <col min="20" max="16384" width="10.5703125" style="1872"/>
  </cols>
  <sheetData>
    <row r="1" spans="1:19" s="1907" customFormat="1" ht="15" hidden="1" customHeight="1">
      <c r="C1" s="1908"/>
      <c r="H1" s="1907">
        <v>4</v>
      </c>
      <c r="S1" s="1909"/>
    </row>
    <row r="2" spans="1:19" ht="22.5" hidden="1" customHeight="1">
      <c r="D2" s="1893"/>
      <c r="E2" s="1911"/>
      <c r="F2" s="1881" t="str">
        <f>IF(TEMPLATE_SPHERE="HEAT","Гкал/час","тыс. куб. м/сутки")</f>
        <v>Гкал/час</v>
      </c>
      <c r="G2" s="1912"/>
      <c r="H2" s="1912"/>
      <c r="I2" s="1912"/>
      <c r="J2" s="1913"/>
    </row>
    <row r="3" spans="1:19" s="1907" customFormat="1" ht="15" hidden="1" customHeight="1">
      <c r="C3" s="1908"/>
      <c r="S3" s="1909"/>
    </row>
    <row r="5" spans="1:19" ht="37.5" customHeight="1">
      <c r="D5" s="225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8"/>
      <c r="F5" s="2258"/>
      <c r="G5" s="2258"/>
      <c r="H5" s="2258"/>
      <c r="I5" s="1943"/>
    </row>
    <row r="6" spans="1:19" ht="15" customHeight="1">
      <c r="D6" s="2259" t="str">
        <f>IF(org=0,"Не определено",org)</f>
        <v>Акционерное общество "Уральский завод металлоконструкций", г.Екатеринбург</v>
      </c>
      <c r="E6" s="2259"/>
      <c r="F6" s="2259"/>
      <c r="G6" s="2259"/>
      <c r="H6" s="2259"/>
      <c r="I6" s="1944"/>
    </row>
    <row r="7" spans="1:19" s="1877" customFormat="1" ht="15" customHeight="1">
      <c r="A7" s="1910"/>
      <c r="C7" s="1895"/>
      <c r="D7" s="1915"/>
      <c r="E7" s="1915"/>
      <c r="F7" s="1915"/>
      <c r="G7" s="1915"/>
      <c r="H7" s="1916"/>
      <c r="I7" s="1915" t="s">
        <v>1</v>
      </c>
      <c r="J7" s="1907"/>
      <c r="S7" s="1914"/>
    </row>
    <row r="8" spans="1:19" ht="0.75" customHeight="1">
      <c r="H8" s="1907" t="s">
        <v>51</v>
      </c>
      <c r="I8" s="1877" t="s">
        <v>57</v>
      </c>
    </row>
    <row r="9" spans="1:19" ht="47.25" customHeight="1">
      <c r="D9" s="1917"/>
      <c r="E9" s="2260" t="s">
        <v>39</v>
      </c>
      <c r="F9" s="2261"/>
      <c r="G9" s="1918" t="str">
        <f>IF(G8="","",INDEX(DIFFERENTIATION_UNMERGE_VD,MATCH(G8,DIFFERENTIATION_ID_DIFF,0)))</f>
        <v/>
      </c>
      <c r="H9" s="1918"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1918" t="str">
        <f>IF(I8="","",INDEX(DIFFERENTIATION_UNMERGE_VD,MATCH(I8,DIFFERENTIATION_ID_DIFF,0)))</f>
        <v>Производство. Теплоноситель; Передача. Теплоноситель; Сбыт. Теплоноситель</v>
      </c>
      <c r="J9" s="1970" t="s">
        <v>225</v>
      </c>
    </row>
    <row r="10" spans="1:19" s="1877" customFormat="1" ht="15" customHeight="1">
      <c r="A10" s="1910"/>
      <c r="C10" s="1895"/>
      <c r="D10" s="1917"/>
      <c r="E10" s="2260" t="s">
        <v>482</v>
      </c>
      <c r="F10" s="2261"/>
      <c r="G10" s="1918" t="str">
        <f>IF(G8="","",INDEX(DIFFERENTIATION_UNMERGE_AREA,MATCH(G8,DIFFERENTIATION_ID_DIFF,0)))</f>
        <v/>
      </c>
      <c r="H10" s="1918" t="str">
        <f>IF(H8="","",INDEX(DIFFERENTIATION_UNMERGE_AREA,MATCH(H8,DIFFERENTIATION_ID_DIFF,0)))</f>
        <v>без дифференциации</v>
      </c>
      <c r="I10" s="1918" t="str">
        <f>IF(I8="","",INDEX(DIFFERENTIATION_UNMERGE_AREA,MATCH(I8,DIFFERENTIATION_ID_DIFF,0)))</f>
        <v>без дифференциации</v>
      </c>
      <c r="J10" s="1970"/>
      <c r="S10" s="1914"/>
    </row>
    <row r="11" spans="1:19" s="1877" customFormat="1" ht="15" customHeight="1">
      <c r="A11" s="1910"/>
      <c r="C11" s="1895"/>
      <c r="D11" s="1917"/>
      <c r="E11" s="2260" t="s">
        <v>483</v>
      </c>
      <c r="F11" s="2261"/>
      <c r="G11" s="1918" t="str">
        <f>IF(G8="","",INDEX(DIFFERENTIATION_UNMERGE_SYSTEM,MATCH(G8,DIFFERENTIATION_ID_DIFF,0)))</f>
        <v/>
      </c>
      <c r="H11" s="1918" t="str">
        <f>IF(H8="","",INDEX(DIFFERENTIATION_UNMERGE_SYSTEM,MATCH(H8,DIFFERENTIATION_ID_DIFF,0)))</f>
        <v>без дифференциации</v>
      </c>
      <c r="I11" s="1918" t="str">
        <f>IF(I8="","",INDEX(DIFFERENTIATION_UNMERGE_SYSTEM,MATCH(I8,DIFFERENTIATION_ID_DIFF,0)))</f>
        <v>без дифференциации</v>
      </c>
      <c r="J11" s="1970"/>
      <c r="S11" s="1914"/>
    </row>
    <row r="12" spans="1:19" s="1877" customFormat="1" ht="15" customHeight="1">
      <c r="A12" s="1910"/>
      <c r="C12" s="1895"/>
      <c r="D12" s="2264" t="s">
        <v>224</v>
      </c>
      <c r="E12" s="2265"/>
      <c r="F12" s="2265"/>
      <c r="G12" s="1919"/>
      <c r="H12" s="1919"/>
      <c r="I12" s="1919"/>
      <c r="J12" s="1970"/>
      <c r="S12" s="1914"/>
    </row>
    <row r="13" spans="1:19" ht="33.75" customHeight="1">
      <c r="D13" s="1881" t="s">
        <v>22</v>
      </c>
      <c r="E13" s="1881" t="s">
        <v>226</v>
      </c>
      <c r="F13" s="1881" t="s">
        <v>484</v>
      </c>
      <c r="G13" s="1920" t="s">
        <v>227</v>
      </c>
      <c r="H13" s="1920" t="s">
        <v>227</v>
      </c>
      <c r="I13" s="1920" t="s">
        <v>227</v>
      </c>
      <c r="J13" s="1970"/>
    </row>
    <row r="14" spans="1:19" ht="15" hidden="1" customHeight="1">
      <c r="D14" s="1883" t="s">
        <v>43</v>
      </c>
      <c r="E14" s="1883" t="s">
        <v>44</v>
      </c>
      <c r="F14" s="1883" t="s">
        <v>24</v>
      </c>
      <c r="G14" s="1895" t="str">
        <f>G1&amp;".1"</f>
        <v>.1</v>
      </c>
      <c r="H14" s="1895" t="str">
        <f>H1&amp;".1"</f>
        <v>4.1</v>
      </c>
      <c r="I14" s="1895" t="str">
        <f>I1&amp;".1"</f>
        <v>.1</v>
      </c>
      <c r="J14" s="1913"/>
    </row>
    <row r="15" spans="1:19" ht="43.5" customHeight="1">
      <c r="A15" s="1877"/>
      <c r="C15" s="1891"/>
      <c r="D15" s="1881">
        <v>1</v>
      </c>
      <c r="E15" s="1921" t="str">
        <f>TP_P_A</f>
        <v>Количество поданных заявок</v>
      </c>
      <c r="F15" s="1881" t="s">
        <v>949</v>
      </c>
      <c r="G15" s="1922"/>
      <c r="H15" s="1922">
        <v>0</v>
      </c>
      <c r="I15" s="1922">
        <v>0</v>
      </c>
      <c r="J15" s="192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9" ht="35.25" customHeight="1">
      <c r="A16" s="1877"/>
      <c r="C16" s="1891"/>
      <c r="D16" s="1881">
        <v>2</v>
      </c>
      <c r="E16" s="1921" t="str">
        <f>TP_P_B</f>
        <v>Количество рассмотренных заявок</v>
      </c>
      <c r="F16" s="1881" t="s">
        <v>949</v>
      </c>
      <c r="G16" s="1922"/>
      <c r="H16" s="1922">
        <v>0</v>
      </c>
      <c r="I16" s="1922">
        <v>0</v>
      </c>
      <c r="J16" s="192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9" ht="100.5" customHeight="1">
      <c r="A17" s="1877"/>
      <c r="C17" s="1891"/>
      <c r="D17" s="1881">
        <v>3</v>
      </c>
      <c r="E17" s="192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881" t="s">
        <v>949</v>
      </c>
      <c r="G17" s="1922"/>
      <c r="H17" s="1922">
        <v>0</v>
      </c>
      <c r="I17" s="1922">
        <v>0</v>
      </c>
      <c r="J17" s="1923" t="str">
        <f>TP_P_NOTE_V</f>
        <v>Указывается количество заявок с решением об отказе в течение отчетного квартала.</v>
      </c>
    </row>
    <row r="18" spans="1:19" ht="67.5" customHeight="1">
      <c r="A18" s="1877"/>
      <c r="C18" s="1891"/>
      <c r="D18" s="1881">
        <v>4</v>
      </c>
      <c r="E18" s="1921" t="str">
        <f>TP_P_V_1</f>
        <v>Причины отказа в заключении договора о подключении (технологическом присоединении) к системе теплоснабжения</v>
      </c>
      <c r="F18" s="1881" t="s">
        <v>230</v>
      </c>
      <c r="G18" s="1924"/>
      <c r="H18" s="1924" t="s">
        <v>302</v>
      </c>
      <c r="I18" s="1924" t="s">
        <v>302</v>
      </c>
      <c r="J18" s="192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9" ht="66.75" customHeight="1">
      <c r="A19" s="1877"/>
      <c r="C19" s="1891"/>
      <c r="D19" s="1881">
        <v>5</v>
      </c>
      <c r="E19" s="1921" t="str">
        <f>TP_P_G</f>
        <v>Резерв мощности источников тепловой энергии, входящих в систему теплоснабжения, в течение одного квартала, в том числе:</v>
      </c>
      <c r="F19" s="1881" t="str">
        <f>IF(TEMPLATE_SPHERE="HEAT","Гкал/час","тыс. куб. м/сутки")</f>
        <v>Гкал/час</v>
      </c>
      <c r="G19" s="1926">
        <f>SUM(G20:G22)</f>
        <v>0</v>
      </c>
      <c r="H19" s="1926">
        <f>SUM(H20:H22)</f>
        <v>0</v>
      </c>
      <c r="I19" s="1926">
        <f>SUM(I20:I22)</f>
        <v>0</v>
      </c>
      <c r="J19" s="192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9" ht="15" hidden="1" customHeight="1">
      <c r="D20" s="1877" t="s">
        <v>950</v>
      </c>
      <c r="E20" s="1915"/>
      <c r="J20" s="1927"/>
    </row>
    <row r="21" spans="1:19" ht="27.75" customHeight="1">
      <c r="C21" s="1891"/>
      <c r="D21" s="1893" t="s">
        <v>239</v>
      </c>
      <c r="E21" s="1928" t="s">
        <v>302</v>
      </c>
      <c r="F21" s="1881" t="str">
        <f>IF(TEMPLATE_SPHERE="HEAT","Гкал/час","тыс. куб. м/сутки")</f>
        <v>Гкал/час</v>
      </c>
      <c r="G21" s="1912"/>
      <c r="H21" s="1912">
        <v>0</v>
      </c>
      <c r="I21" s="1912">
        <v>0</v>
      </c>
      <c r="J21" s="226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9" ht="54.75" customHeight="1">
      <c r="A22" s="1877"/>
      <c r="C22" s="1877"/>
      <c r="D22" s="1929"/>
      <c r="E22" s="1901" t="s">
        <v>951</v>
      </c>
      <c r="F22" s="1930"/>
      <c r="G22" s="1930"/>
      <c r="H22" s="1930"/>
      <c r="I22" s="1930"/>
      <c r="J22" s="2270"/>
      <c r="S22" s="1877"/>
    </row>
  </sheetData>
  <sheetProtection formatColumns="0" formatRows="0" insertRows="0" deleteColumns="0" deleteRows="0" sort="0" autoFilter="0"/>
  <mergeCells count="8">
    <mergeCell ref="J21:J22"/>
    <mergeCell ref="D5:H5"/>
    <mergeCell ref="D6:H6"/>
    <mergeCell ref="E9:F9"/>
    <mergeCell ref="J9:J13"/>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s>
  <pageMargins left="0.70866141732283472" right="0.70866141732283472" top="0.74803149606299213" bottom="0.74803149606299213" header="0.31496062992125984" footer="0.31496062992125984"/>
  <pageSetup paperSize="9" scale="65" orientation="landscape" r:id="rId1"/>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rgb="FFC00000"/>
    <pageSetUpPr fitToPage="1"/>
  </sheetPr>
  <dimension ref="A1:AB28"/>
  <sheetViews>
    <sheetView showGridLines="0" topLeftCell="C2" zoomScale="90" workbookViewId="0">
      <selection activeCell="I50" sqref="I50"/>
    </sheetView>
  </sheetViews>
  <sheetFormatPr defaultColWidth="9.140625" defaultRowHeight="14.25" customHeight="1"/>
  <cols>
    <col min="1" max="1" width="8" style="1812" hidden="1" customWidth="1"/>
    <col min="2" max="2" width="6" style="1806" hidden="1" customWidth="1"/>
    <col min="3" max="3" width="3.7109375" style="1812" customWidth="1"/>
    <col min="4" max="4" width="3.7109375" style="1677" customWidth="1"/>
    <col min="5" max="5" width="6.28515625" style="1812" customWidth="1"/>
    <col min="6" max="6" width="2.7109375" style="1812" hidden="1" customWidth="1"/>
    <col min="7" max="7" width="46.7109375" style="1812" customWidth="1"/>
    <col min="8" max="8" width="43.140625" style="1812" customWidth="1"/>
    <col min="9" max="9" width="14.85546875" style="1812" customWidth="1"/>
    <col min="10" max="10" width="3.7109375" style="1807" customWidth="1"/>
    <col min="11" max="13" width="9.140625" style="1807"/>
    <col min="14" max="14" width="25.7109375" style="1807" hidden="1" customWidth="1"/>
    <col min="15" max="15" width="14.42578125" style="1807" hidden="1" customWidth="1"/>
    <col min="16" max="19" width="9.140625" style="1630"/>
    <col min="20" max="28" width="9.140625" style="1812"/>
    <col min="29" max="16384" width="9.140625" style="1853"/>
  </cols>
  <sheetData>
    <row r="1" spans="1:28" s="1755" customFormat="1" ht="5.25" hidden="1" customHeight="1">
      <c r="A1" s="1751"/>
      <c r="D1" s="1863"/>
      <c r="G1" s="1124" t="s">
        <v>17</v>
      </c>
      <c r="H1" s="1863" t="s">
        <v>18</v>
      </c>
      <c r="I1" s="1274" t="s">
        <v>19</v>
      </c>
      <c r="J1" s="1124" t="s">
        <v>17</v>
      </c>
      <c r="K1" s="1124"/>
      <c r="L1" s="1124"/>
      <c r="M1" s="1124"/>
      <c r="N1" s="1124"/>
      <c r="O1" s="1124"/>
      <c r="P1" s="1124"/>
      <c r="Q1" s="1124"/>
      <c r="R1" s="1124"/>
      <c r="S1" s="1124"/>
      <c r="T1" s="1274"/>
      <c r="U1" s="1274"/>
      <c r="V1" s="1274"/>
      <c r="W1" s="1274"/>
      <c r="X1" s="1274"/>
      <c r="Y1" s="1274"/>
      <c r="Z1" s="1274"/>
      <c r="AA1" s="1274"/>
      <c r="AB1" s="1274"/>
    </row>
    <row r="2" spans="1:28" s="1623" customFormat="1" ht="11.25" customHeight="1">
      <c r="A2" s="1029"/>
      <c r="B2" s="124"/>
      <c r="C2" s="124"/>
      <c r="D2" s="125"/>
      <c r="E2" s="124"/>
      <c r="F2" s="124"/>
      <c r="G2" s="124"/>
      <c r="H2" s="124"/>
      <c r="I2" s="124"/>
      <c r="J2" s="1124"/>
      <c r="K2" s="1124"/>
      <c r="L2" s="1124"/>
      <c r="M2" s="1124"/>
      <c r="N2" s="1124"/>
      <c r="O2" s="1124"/>
      <c r="P2" s="126"/>
      <c r="Q2" s="126"/>
      <c r="R2" s="126"/>
      <c r="S2" s="126"/>
      <c r="T2" s="125"/>
      <c r="U2" s="125"/>
      <c r="V2" s="125"/>
      <c r="W2" s="125"/>
      <c r="X2" s="125"/>
      <c r="Y2" s="125"/>
      <c r="Z2" s="125"/>
      <c r="AA2" s="125"/>
      <c r="AB2" s="125"/>
    </row>
    <row r="3" spans="1:28" s="1833" customFormat="1" ht="3" customHeight="1">
      <c r="A3" s="1812"/>
      <c r="B3" s="1806"/>
      <c r="C3" s="1812"/>
      <c r="D3" s="1677"/>
      <c r="E3" s="1812"/>
      <c r="F3" s="1812"/>
      <c r="G3" s="1812"/>
      <c r="H3" s="1812"/>
      <c r="I3" s="1867"/>
      <c r="J3" s="1124"/>
      <c r="K3" s="1807"/>
      <c r="L3" s="1807"/>
      <c r="M3" s="1807"/>
      <c r="N3" s="1807"/>
      <c r="O3" s="1807"/>
      <c r="P3" s="1630"/>
      <c r="Q3" s="1630"/>
      <c r="R3" s="1630"/>
      <c r="S3" s="1630"/>
    </row>
    <row r="4" spans="1:28" s="1833" customFormat="1" ht="25.5" customHeight="1">
      <c r="A4" s="1812"/>
      <c r="B4" s="1806"/>
      <c r="C4" s="1812"/>
      <c r="D4" s="1677"/>
      <c r="E4" s="1955" t="str">
        <f>NameTemplatesInListMO</f>
        <v>Перечень муниципальных районов и муниципальных образований (территорий действия тарифа)</v>
      </c>
      <c r="F4" s="1955"/>
      <c r="G4" s="1955"/>
      <c r="H4" s="1955"/>
      <c r="I4" s="1955"/>
      <c r="J4" s="1124"/>
      <c r="K4" s="1807"/>
      <c r="L4" s="1807"/>
      <c r="M4" s="1807"/>
      <c r="N4" s="1807"/>
      <c r="O4" s="1807"/>
      <c r="P4" s="1630"/>
      <c r="Q4" s="1630"/>
      <c r="R4" s="1630"/>
      <c r="S4" s="1630"/>
    </row>
    <row r="5" spans="1:28" s="1833" customFormat="1" ht="3" customHeight="1">
      <c r="A5" s="1812"/>
      <c r="B5" s="1806"/>
      <c r="C5" s="1812"/>
      <c r="D5" s="1677"/>
      <c r="E5" s="1812"/>
      <c r="F5" s="1812"/>
      <c r="G5" s="1814"/>
      <c r="H5" s="1814"/>
      <c r="I5" s="1029"/>
      <c r="J5" s="1807"/>
      <c r="K5" s="1807"/>
      <c r="L5" s="1807"/>
      <c r="M5" s="1807"/>
      <c r="N5" s="1807"/>
      <c r="O5" s="1807"/>
      <c r="P5" s="1630"/>
      <c r="Q5" s="1630"/>
      <c r="R5" s="1630"/>
      <c r="S5" s="1630"/>
    </row>
    <row r="6" spans="1:28" s="1833" customFormat="1" ht="20.25" hidden="1" customHeight="1">
      <c r="A6" s="1842"/>
      <c r="B6" s="1451"/>
      <c r="C6" s="1842"/>
      <c r="D6" s="1677"/>
      <c r="E6" s="1861"/>
      <c r="F6" s="1861"/>
      <c r="G6" s="1814"/>
      <c r="H6" s="71"/>
      <c r="I6" s="71"/>
      <c r="J6" s="1807"/>
      <c r="K6" s="1807"/>
      <c r="L6" s="1807"/>
      <c r="M6" s="1807"/>
      <c r="N6" s="1807"/>
      <c r="O6" s="1807"/>
      <c r="P6" s="1630"/>
      <c r="Q6" s="1630"/>
      <c r="R6" s="1630"/>
      <c r="S6" s="1630"/>
    </row>
    <row r="7" spans="1:28" ht="25.5" hidden="1" customHeight="1"/>
    <row r="8" spans="1:28" s="1833" customFormat="1" ht="14.25" customHeight="1">
      <c r="A8" s="1812"/>
      <c r="B8" s="1806"/>
      <c r="C8" s="1812"/>
      <c r="D8" s="1677"/>
      <c r="E8" s="1956" t="s">
        <v>20</v>
      </c>
      <c r="F8" s="1957"/>
      <c r="G8" s="1958"/>
      <c r="H8" s="1959" t="s">
        <v>21</v>
      </c>
      <c r="I8" s="1959"/>
      <c r="J8" s="1807"/>
      <c r="K8" s="1807"/>
      <c r="L8" s="1807"/>
      <c r="M8" s="1807"/>
      <c r="N8" s="1807"/>
      <c r="O8" s="1807"/>
      <c r="P8" s="1630"/>
      <c r="Q8" s="1630"/>
      <c r="R8" s="1630"/>
      <c r="S8" s="1630"/>
    </row>
    <row r="9" spans="1:28" s="1833" customFormat="1" ht="20.25" customHeight="1">
      <c r="A9" s="1812"/>
      <c r="B9" s="1806"/>
      <c r="C9" s="1812"/>
      <c r="D9" s="1677"/>
      <c r="E9" s="1865" t="s">
        <v>22</v>
      </c>
      <c r="F9" s="1865"/>
      <c r="G9" s="1866" t="s">
        <v>23</v>
      </c>
      <c r="H9" s="1866" t="s">
        <v>23</v>
      </c>
      <c r="I9" s="1866" t="s">
        <v>19</v>
      </c>
      <c r="J9" s="1807"/>
      <c r="K9" s="1807"/>
      <c r="L9" s="1807"/>
      <c r="M9" s="1807"/>
      <c r="N9" s="1807"/>
      <c r="O9" s="1807"/>
      <c r="P9" s="1630"/>
      <c r="Q9" s="1630"/>
      <c r="R9" s="1630"/>
      <c r="S9" s="1630"/>
    </row>
    <row r="10" spans="1:28" ht="11.25" customHeight="1">
      <c r="D10" s="1859"/>
      <c r="E10" s="593" t="s">
        <v>24</v>
      </c>
      <c r="F10" s="593"/>
      <c r="G10" s="593" t="s">
        <v>25</v>
      </c>
      <c r="H10" s="593" t="s">
        <v>26</v>
      </c>
      <c r="I10" s="593" t="s">
        <v>27</v>
      </c>
      <c r="J10" s="1638"/>
      <c r="K10" s="1638"/>
      <c r="L10" s="1638"/>
      <c r="M10" s="1638"/>
      <c r="N10" s="1638"/>
      <c r="O10" s="1638"/>
      <c r="P10" s="1410"/>
      <c r="Q10" s="1410"/>
      <c r="R10" s="1410"/>
      <c r="S10" s="1410"/>
    </row>
    <row r="11" spans="1:28" s="1833" customFormat="1" ht="0.75" customHeight="1">
      <c r="A11" s="1812"/>
      <c r="B11" s="1806"/>
      <c r="C11" s="1812"/>
      <c r="D11" s="1677"/>
      <c r="E11" s="599"/>
      <c r="F11" s="599"/>
      <c r="G11" s="74"/>
      <c r="H11" s="74"/>
      <c r="I11" s="75"/>
      <c r="J11" s="129" t="s">
        <v>28</v>
      </c>
      <c r="K11" s="1807"/>
      <c r="L11" s="1807"/>
      <c r="M11" s="1807" t="s">
        <v>29</v>
      </c>
      <c r="N11" s="1807" t="s">
        <v>30</v>
      </c>
      <c r="O11" s="1807" t="s">
        <v>31</v>
      </c>
      <c r="P11" s="1630"/>
      <c r="Q11" s="1630"/>
      <c r="R11" s="1630"/>
      <c r="S11" s="1630"/>
    </row>
    <row r="12" spans="1:28" s="1833" customFormat="1" ht="14.25" customHeight="1">
      <c r="A12" s="1954">
        <v>1</v>
      </c>
      <c r="B12" s="1806"/>
      <c r="C12" s="1812"/>
      <c r="D12" s="1677"/>
      <c r="E12" s="1860">
        <f>A12</f>
        <v>1</v>
      </c>
      <c r="F12" s="1711" t="s">
        <v>32</v>
      </c>
      <c r="G12" s="398" t="str">
        <f>"Территория "&amp;E12</f>
        <v>Территория 1</v>
      </c>
      <c r="H12" s="601"/>
      <c r="I12" s="601"/>
      <c r="J12" s="1807"/>
      <c r="K12" s="1807"/>
      <c r="L12" s="1807"/>
      <c r="M12" s="1807"/>
      <c r="N12" s="1807"/>
      <c r="O12" s="1807"/>
      <c r="P12" s="1630"/>
      <c r="Q12" s="1630"/>
      <c r="R12" s="1630"/>
      <c r="S12" s="1630"/>
    </row>
    <row r="13" spans="1:28" ht="42.75" customHeight="1">
      <c r="A13" s="1954"/>
      <c r="B13" s="1806">
        <v>1</v>
      </c>
      <c r="C13" s="1806"/>
      <c r="D13" s="609"/>
      <c r="E13" s="1862" t="str">
        <f>A12&amp;"."&amp;B13</f>
        <v>1.1</v>
      </c>
      <c r="F13" s="1864" t="s">
        <v>33</v>
      </c>
      <c r="G13" s="602" t="s">
        <v>34</v>
      </c>
      <c r="H13" s="602" t="s">
        <v>34</v>
      </c>
      <c r="I13" s="600" t="s">
        <v>35</v>
      </c>
      <c r="J13" s="1807" t="e">
        <f ca="1">MERGEVALUE(G13)</f>
        <v>#NAME?</v>
      </c>
      <c r="K13" s="1755"/>
      <c r="L13" s="1755"/>
      <c r="M13" s="1807" t="str">
        <f t="array" ref="M13">IF(ISERROR(MATCH(MID(N13,1,250),MID(note_ter,1,250),0)),"n","y")</f>
        <v>n</v>
      </c>
      <c r="N13" s="1755"/>
      <c r="O13" s="1807" t="str">
        <f>H13&amp;"("&amp;I13&amp;")"</f>
        <v>муниципальное образование город Екатеринбург(65701000)</v>
      </c>
      <c r="P13" s="1806"/>
      <c r="Q13" s="1806"/>
      <c r="R13" s="299"/>
      <c r="S13" s="1806"/>
      <c r="T13" s="1806"/>
      <c r="U13" s="1806"/>
      <c r="V13" s="1451"/>
      <c r="W13" s="1451"/>
      <c r="X13" s="1634"/>
      <c r="Y13" s="1634"/>
      <c r="Z13" s="1634"/>
      <c r="AA13" s="1634"/>
      <c r="AB13" s="1634"/>
    </row>
    <row r="14" spans="1:28" ht="15" customHeight="1">
      <c r="A14" s="1954"/>
      <c r="C14" s="293"/>
      <c r="D14" s="610"/>
      <c r="E14" s="300"/>
      <c r="F14" s="77"/>
      <c r="G14" s="1017" t="s">
        <v>36</v>
      </c>
      <c r="H14" s="87"/>
      <c r="I14" s="303"/>
      <c r="J14" s="1755"/>
      <c r="K14" s="1755"/>
      <c r="L14" s="1755"/>
      <c r="M14" s="1755"/>
      <c r="O14" s="1755"/>
      <c r="P14" s="1806"/>
      <c r="Q14" s="1806"/>
      <c r="R14" s="299"/>
      <c r="S14" s="1806"/>
      <c r="T14" s="1806"/>
      <c r="U14" s="1806"/>
      <c r="V14" s="1451"/>
      <c r="W14" s="1451"/>
      <c r="X14" s="1634"/>
      <c r="Y14" s="1634"/>
      <c r="Z14" s="1634"/>
      <c r="AA14" s="1634"/>
      <c r="AB14" s="1634"/>
    </row>
    <row r="15" spans="1:28" s="1833" customFormat="1" ht="14.25" customHeight="1">
      <c r="A15" s="1812"/>
      <c r="B15" s="1806"/>
      <c r="C15" s="1812"/>
      <c r="D15" s="1677"/>
      <c r="E15" s="603"/>
      <c r="F15" s="78"/>
      <c r="G15" s="492" t="s">
        <v>37</v>
      </c>
      <c r="H15" s="78"/>
      <c r="I15" s="79"/>
      <c r="J15" s="129"/>
      <c r="K15" s="1807"/>
      <c r="L15" s="1807"/>
      <c r="M15" s="1807"/>
      <c r="N15" s="1807" t="s">
        <v>38</v>
      </c>
      <c r="O15" s="1807"/>
      <c r="P15" s="1630"/>
      <c r="Q15" s="1630"/>
      <c r="R15" s="1630"/>
      <c r="S15" s="1630"/>
    </row>
    <row r="16" spans="1:28" s="1833" customFormat="1" ht="21" customHeight="1">
      <c r="A16" s="1812"/>
      <c r="B16" s="1806"/>
      <c r="C16" s="1812"/>
      <c r="D16" s="1677"/>
      <c r="E16" s="80"/>
      <c r="F16" s="80"/>
      <c r="G16" s="80"/>
      <c r="H16" s="80"/>
      <c r="I16" s="80"/>
      <c r="J16" s="1807"/>
      <c r="K16" s="1807"/>
      <c r="L16" s="1807"/>
      <c r="M16" s="1807"/>
      <c r="N16" s="1807"/>
      <c r="O16" s="1807"/>
      <c r="P16" s="1630"/>
      <c r="Q16" s="1630"/>
      <c r="R16" s="1630"/>
      <c r="S16" s="1630"/>
    </row>
    <row r="17" spans="1:19" s="1833" customFormat="1" ht="14.25" customHeight="1">
      <c r="A17" s="1812"/>
      <c r="B17" s="1806"/>
      <c r="C17" s="1812"/>
      <c r="D17" s="1677"/>
      <c r="E17" s="1812"/>
      <c r="F17" s="1812"/>
      <c r="G17" s="1812"/>
      <c r="H17" s="1812"/>
      <c r="I17" s="1812"/>
      <c r="J17" s="1807"/>
      <c r="K17" s="1807"/>
      <c r="L17" s="1807"/>
      <c r="M17" s="1807"/>
      <c r="N17" s="1807"/>
      <c r="O17" s="1807"/>
      <c r="P17" s="1630"/>
      <c r="Q17" s="1630"/>
      <c r="R17" s="1630"/>
      <c r="S17" s="1630"/>
    </row>
    <row r="18" spans="1:19" s="1833" customFormat="1" ht="0.75" customHeight="1">
      <c r="A18" s="1812"/>
      <c r="B18" s="1806"/>
      <c r="C18" s="1812"/>
      <c r="D18" s="1677"/>
      <c r="E18" s="1812"/>
      <c r="F18" s="1812"/>
      <c r="G18" s="1812"/>
      <c r="H18" s="1812"/>
      <c r="I18" s="1812"/>
      <c r="J18" s="1807"/>
      <c r="K18" s="1807"/>
      <c r="L18" s="1807"/>
      <c r="M18" s="1807"/>
      <c r="N18" s="1807"/>
      <c r="O18" s="1807"/>
      <c r="P18" s="1630"/>
      <c r="Q18" s="1630"/>
      <c r="R18" s="1630"/>
      <c r="S18" s="1630"/>
    </row>
    <row r="19" spans="1:19" s="1772" customFormat="1" ht="10.5" customHeight="1">
      <c r="B19" s="637"/>
      <c r="D19" s="82"/>
      <c r="J19" s="1807"/>
      <c r="K19" s="1807"/>
      <c r="L19" s="1807"/>
      <c r="M19" s="1807"/>
      <c r="N19" s="1807"/>
      <c r="O19" s="1807"/>
      <c r="P19" s="1630"/>
      <c r="Q19" s="1630"/>
      <c r="R19" s="1630"/>
      <c r="S19" s="1630"/>
    </row>
    <row r="20" spans="1:19" s="1772" customFormat="1" ht="10.5" customHeight="1">
      <c r="B20" s="637"/>
      <c r="D20" s="82"/>
      <c r="J20" s="1807"/>
      <c r="K20" s="1807"/>
      <c r="L20" s="1807"/>
      <c r="M20" s="1807"/>
      <c r="N20" s="1807"/>
      <c r="O20" s="1807"/>
      <c r="P20" s="1630"/>
      <c r="Q20" s="1630"/>
      <c r="R20" s="1630"/>
      <c r="S20" s="1630"/>
    </row>
    <row r="24" spans="1:19" ht="14.25" customHeight="1">
      <c r="H24" s="1853"/>
    </row>
    <row r="28" spans="1:19" ht="14.25" customHeight="1">
      <c r="J28" s="1812"/>
      <c r="K28" s="1812"/>
      <c r="L28" s="1812"/>
    </row>
  </sheetData>
  <sheetProtection formatColumns="0" formatRows="0" insertRows="0" deleteColumns="0" deleteRows="0" sort="0" autoFilter="0"/>
  <mergeCells count="4">
    <mergeCell ref="E4:I4"/>
    <mergeCell ref="E8:G8"/>
    <mergeCell ref="H8:I8"/>
    <mergeCell ref="A12:A14"/>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8740157480314965"/>
  <pageSetup paperSize="9" fitToHeight="0" orientation="landscape" blackAndWhite="1" r:id="rId1"/>
  <headerFooter>
    <oddHeader>&amp;L&amp;C&amp;R</oddHeader>
    <oddFooter>&amp;L&amp;C&amp;R</oddFooter>
    <evenHeader>&amp;L&amp;C&amp;R</evenHeader>
    <evenFooter>&amp;L&amp;C&amp;R</evenFooter>
  </headerFooter>
  <drawing r:id="rId2"/>
</worksheet>
</file>

<file path=xl/worksheets/sheet40.xml><?xml version="1.0" encoding="utf-8"?>
<worksheet xmlns="http://schemas.openxmlformats.org/spreadsheetml/2006/main" xmlns:r="http://schemas.openxmlformats.org/officeDocument/2006/relationships">
  <sheetPr>
    <tabColor rgb="FFC00000"/>
    <pageSetUpPr fitToPage="1"/>
  </sheetPr>
  <dimension ref="A1:AL16"/>
  <sheetViews>
    <sheetView showGridLines="0" topLeftCell="C3" zoomScale="90" workbookViewId="0">
      <selection activeCell="D4" sqref="D4:I4"/>
    </sheetView>
  </sheetViews>
  <sheetFormatPr defaultColWidth="9.140625" defaultRowHeight="11.25" customHeight="1"/>
  <cols>
    <col min="1" max="1" width="6.42578125" style="1868" hidden="1" customWidth="1"/>
    <col min="2" max="2" width="2" style="1868" hidden="1" customWidth="1"/>
    <col min="3" max="3" width="3.7109375" style="1868" customWidth="1"/>
    <col min="4" max="4" width="4.28515625" style="1868" customWidth="1"/>
    <col min="5" max="5" width="45" style="1868" customWidth="1"/>
    <col min="6" max="6" width="6.42578125" style="1868" customWidth="1"/>
    <col min="7" max="7" width="4.42578125" style="1868" customWidth="1"/>
    <col min="8" max="8" width="5.5703125" style="1868" customWidth="1"/>
    <col min="9" max="9" width="52.85546875" style="1868" customWidth="1"/>
    <col min="10" max="10" width="7" style="1868" customWidth="1"/>
    <col min="11" max="11" width="3.7109375" style="1868" customWidth="1"/>
    <col min="12" max="12" width="6.28515625" style="1868" customWidth="1"/>
    <col min="13" max="13" width="56.28515625" style="1868" customWidth="1"/>
    <col min="14" max="14" width="9.140625" style="1869"/>
    <col min="15" max="20" width="9.140625" style="1870"/>
    <col min="21" max="24" width="9.140625" style="1871"/>
    <col min="25" max="38" width="9.140625" style="1869"/>
    <col min="39" max="16384" width="9.140625" style="1872"/>
  </cols>
  <sheetData>
    <row r="1" spans="1:38" ht="11.25" hidden="1" customHeight="1"/>
    <row r="2" spans="1:38" ht="11.25" hidden="1" customHeight="1"/>
    <row r="4" spans="1:38" ht="34.5" customHeight="1">
      <c r="A4" s="1871"/>
      <c r="B4" s="1871"/>
      <c r="D4" s="1960" t="str">
        <f>[2]Титульный!E5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61"/>
      <c r="F4" s="1961"/>
      <c r="G4" s="1961"/>
      <c r="H4" s="1961"/>
      <c r="I4" s="1962"/>
      <c r="J4" s="1869"/>
      <c r="K4" s="1869"/>
      <c r="L4" s="1869"/>
      <c r="M4" s="1869"/>
    </row>
    <row r="5" spans="1:38" s="1876" customFormat="1" ht="15" customHeight="1">
      <c r="A5" s="1871"/>
      <c r="B5" s="1871"/>
      <c r="C5" s="1871"/>
      <c r="D5" s="1963" t="str">
        <f>IF(org=0,"Не определено",org)</f>
        <v>Акционерное общество "Уральский завод металлоконструкций", г.Екатеринбург</v>
      </c>
      <c r="E5" s="1964"/>
      <c r="F5" s="1964"/>
      <c r="G5" s="1964"/>
      <c r="H5" s="1964"/>
      <c r="I5" s="1965"/>
      <c r="J5" s="1873"/>
      <c r="K5" s="1873"/>
      <c r="L5" s="1873"/>
      <c r="M5" s="1873"/>
      <c r="N5" s="1873"/>
      <c r="O5" s="1874"/>
      <c r="P5" s="1874"/>
      <c r="Q5" s="1874"/>
      <c r="R5" s="1874"/>
      <c r="S5" s="1874"/>
      <c r="T5" s="1874"/>
      <c r="U5" s="1875"/>
      <c r="V5" s="1875"/>
      <c r="W5" s="1875"/>
      <c r="X5" s="1875"/>
      <c r="Y5" s="1873"/>
      <c r="Z5" s="1873"/>
      <c r="AA5" s="1873"/>
      <c r="AB5" s="1873"/>
      <c r="AC5" s="1873"/>
      <c r="AD5" s="1873"/>
      <c r="AE5" s="1873"/>
      <c r="AF5" s="1873"/>
      <c r="AG5" s="1873"/>
      <c r="AH5" s="1873"/>
      <c r="AI5" s="1873"/>
      <c r="AJ5" s="1873"/>
      <c r="AK5" s="1873"/>
      <c r="AL5" s="1873"/>
    </row>
    <row r="6" spans="1:38" s="1876" customFormat="1" ht="6" customHeight="1">
      <c r="A6" s="1966"/>
      <c r="B6" s="1966"/>
      <c r="C6" s="1966"/>
      <c r="D6" s="1966"/>
      <c r="E6" s="1966"/>
      <c r="F6" s="1966"/>
      <c r="G6" s="1877"/>
      <c r="H6" s="1877"/>
      <c r="I6" s="1877"/>
      <c r="J6" s="1877"/>
      <c r="K6" s="1877"/>
      <c r="N6" s="1873"/>
      <c r="O6" s="1874"/>
      <c r="P6" s="1874"/>
      <c r="Q6" s="1874"/>
      <c r="R6" s="1874"/>
      <c r="S6" s="1874"/>
      <c r="T6" s="1874"/>
      <c r="U6" s="1875"/>
      <c r="V6" s="1875"/>
      <c r="W6" s="1875"/>
      <c r="X6" s="1875"/>
      <c r="Y6" s="1873"/>
      <c r="Z6" s="1873"/>
      <c r="AA6" s="1873"/>
      <c r="AB6" s="1873"/>
      <c r="AC6" s="1873"/>
      <c r="AD6" s="1873"/>
      <c r="AE6" s="1873"/>
      <c r="AF6" s="1873"/>
      <c r="AG6" s="1873"/>
      <c r="AH6" s="1873"/>
      <c r="AI6" s="1873"/>
      <c r="AJ6" s="1873"/>
      <c r="AK6" s="1873"/>
      <c r="AL6" s="1873"/>
    </row>
    <row r="7" spans="1:38" ht="45.75" hidden="1" customHeight="1">
      <c r="E7" s="196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8"/>
      <c r="G7" s="1968"/>
      <c r="H7" s="1968"/>
      <c r="I7" s="1968"/>
      <c r="J7" s="1968"/>
      <c r="K7" s="1968"/>
      <c r="L7" s="1968"/>
      <c r="M7" s="1968"/>
    </row>
    <row r="8" spans="1:38" s="1876" customFormat="1" ht="6" customHeight="1">
      <c r="A8" s="1878"/>
      <c r="B8" s="1878"/>
      <c r="C8" s="1878"/>
      <c r="D8" s="1878"/>
      <c r="E8" s="1878"/>
      <c r="F8" s="1878"/>
      <c r="G8" s="1878"/>
      <c r="H8" s="1878"/>
      <c r="I8" s="1878"/>
      <c r="J8" s="1878"/>
      <c r="K8" s="1878"/>
      <c r="L8" s="1878"/>
      <c r="N8" s="1873"/>
      <c r="O8" s="1874"/>
      <c r="P8" s="1874"/>
      <c r="Q8" s="1874"/>
      <c r="R8" s="1874"/>
      <c r="S8" s="1874"/>
      <c r="T8" s="1874"/>
      <c r="U8" s="1875"/>
      <c r="V8" s="1875"/>
      <c r="W8" s="1875"/>
      <c r="X8" s="1875"/>
      <c r="Y8" s="1873"/>
      <c r="Z8" s="1873"/>
      <c r="AA8" s="1873"/>
      <c r="AB8" s="1873"/>
      <c r="AC8" s="1873"/>
      <c r="AD8" s="1873"/>
      <c r="AE8" s="1873"/>
      <c r="AF8" s="1873"/>
      <c r="AG8" s="1873"/>
      <c r="AH8" s="1873"/>
      <c r="AI8" s="1873"/>
      <c r="AJ8" s="1873"/>
      <c r="AK8" s="1873"/>
      <c r="AL8" s="1873"/>
    </row>
    <row r="9" spans="1:38" ht="18" customHeight="1">
      <c r="A9" s="1969"/>
      <c r="B9" s="1877"/>
      <c r="C9" s="1877"/>
      <c r="D9" s="1970" t="s">
        <v>39</v>
      </c>
      <c r="E9" s="1970"/>
      <c r="F9" s="1971" t="s">
        <v>40</v>
      </c>
      <c r="G9" s="1972"/>
      <c r="H9" s="1972"/>
      <c r="I9" s="1972"/>
      <c r="J9" s="1973" t="s">
        <v>41</v>
      </c>
      <c r="K9" s="1973"/>
      <c r="L9" s="1973"/>
      <c r="M9" s="1973"/>
    </row>
    <row r="10" spans="1:38" ht="22.5" customHeight="1">
      <c r="A10" s="1969"/>
      <c r="B10" s="1879"/>
      <c r="C10" s="1880"/>
      <c r="D10" s="1881" t="s">
        <v>22</v>
      </c>
      <c r="E10" s="1881" t="s">
        <v>23</v>
      </c>
      <c r="F10" s="1881" t="s">
        <v>42</v>
      </c>
      <c r="G10" s="1974" t="s">
        <v>22</v>
      </c>
      <c r="H10" s="1975"/>
      <c r="I10" s="1881" t="s">
        <v>23</v>
      </c>
      <c r="J10" s="1881" t="s">
        <v>42</v>
      </c>
      <c r="K10" s="1974" t="s">
        <v>22</v>
      </c>
      <c r="L10" s="1975"/>
      <c r="M10" s="1881" t="s">
        <v>23</v>
      </c>
      <c r="N10" s="1882"/>
    </row>
    <row r="11" spans="1:38" s="1868" customFormat="1" ht="11.25" hidden="1" customHeight="1">
      <c r="A11" s="1883"/>
      <c r="B11" s="1883"/>
      <c r="C11" s="1883"/>
      <c r="D11" s="1884" t="s">
        <v>43</v>
      </c>
      <c r="E11" s="1884" t="s">
        <v>44</v>
      </c>
      <c r="F11" s="1884" t="s">
        <v>24</v>
      </c>
      <c r="G11" s="1976" t="s">
        <v>25</v>
      </c>
      <c r="H11" s="1977"/>
      <c r="I11" s="1884" t="s">
        <v>45</v>
      </c>
      <c r="J11" s="1884" t="s">
        <v>26</v>
      </c>
      <c r="K11" s="1978" t="s">
        <v>27</v>
      </c>
      <c r="L11" s="1979"/>
      <c r="M11" s="1884" t="s">
        <v>46</v>
      </c>
      <c r="N11" s="1882"/>
      <c r="O11" s="1870"/>
      <c r="P11" s="1870"/>
      <c r="Q11" s="1870"/>
      <c r="R11" s="1870"/>
      <c r="S11" s="1870"/>
      <c r="T11" s="1870"/>
      <c r="U11" s="1871"/>
      <c r="V11" s="1871"/>
      <c r="W11" s="1871"/>
      <c r="X11" s="1871"/>
      <c r="Y11" s="1869"/>
      <c r="Z11" s="1869"/>
      <c r="AA11" s="1869"/>
      <c r="AB11" s="1869"/>
      <c r="AC11" s="1869"/>
      <c r="AD11" s="1869"/>
      <c r="AE11" s="1869"/>
      <c r="AF11" s="1869"/>
      <c r="AG11" s="1869"/>
      <c r="AH11" s="1869"/>
      <c r="AI11" s="1869"/>
      <c r="AJ11" s="1869"/>
      <c r="AK11" s="1869"/>
      <c r="AL11" s="1869"/>
    </row>
    <row r="12" spans="1:38" ht="0.75" customHeight="1">
      <c r="A12" s="1885"/>
      <c r="B12" s="1879"/>
      <c r="C12" s="1879"/>
      <c r="D12" s="1886"/>
      <c r="E12" s="1887"/>
      <c r="F12" s="1887"/>
      <c r="G12" s="1888"/>
      <c r="H12" s="1888"/>
      <c r="I12" s="1887"/>
      <c r="J12" s="1887"/>
      <c r="K12" s="1889"/>
      <c r="L12" s="1887"/>
      <c r="M12" s="1890"/>
      <c r="N12" s="1882"/>
      <c r="O12" s="1870" t="s">
        <v>47</v>
      </c>
      <c r="P12" s="1870" t="s">
        <v>48</v>
      </c>
      <c r="Q12" s="1870" t="s">
        <v>49</v>
      </c>
      <c r="R12" s="1870" t="s">
        <v>50</v>
      </c>
    </row>
    <row r="13" spans="1:38" s="1868" customFormat="1" ht="15" customHeight="1">
      <c r="A13" s="1872"/>
      <c r="B13" s="1872"/>
      <c r="C13" s="1891"/>
      <c r="D13" s="1980" t="s">
        <v>43</v>
      </c>
      <c r="E13" s="1981" t="str">
        <f>INDEX(VD_NAME_LIST,MATCH("4189702",VD_ID_LIST,0))</f>
        <v>Горячее водоснабжение</v>
      </c>
      <c r="F13" s="1984" t="s">
        <v>15</v>
      </c>
      <c r="G13" s="1986"/>
      <c r="H13" s="1987">
        <v>1</v>
      </c>
      <c r="I13" s="1988" t="s">
        <v>1</v>
      </c>
      <c r="J13" s="1985" t="s">
        <v>15</v>
      </c>
      <c r="K13" s="1892"/>
      <c r="L13" s="1893" t="s">
        <v>43</v>
      </c>
      <c r="M13" s="1894" t="s">
        <v>1</v>
      </c>
      <c r="N13" s="1882"/>
      <c r="O13" s="1870" t="s">
        <v>51</v>
      </c>
      <c r="P13" s="1870" t="str">
        <f>$E$13</f>
        <v>Горячее водоснабжение</v>
      </c>
      <c r="Q13" s="1870" t="str">
        <f>IF($F$13="нет","без дифференциации",$I$13)</f>
        <v>без дифференциации</v>
      </c>
      <c r="R13" s="1870" t="str">
        <f>IF($J$13="нет","без дифференциации",M13)</f>
        <v>без дифференциации</v>
      </c>
      <c r="S13" s="1870"/>
      <c r="T13" s="1870"/>
      <c r="U13" s="1871"/>
      <c r="V13" s="1871" t="s">
        <v>5442</v>
      </c>
      <c r="W13" s="1871"/>
      <c r="X13" s="1871"/>
      <c r="Y13" s="1869" t="s">
        <v>53</v>
      </c>
      <c r="Z13" s="1869">
        <v>1705000</v>
      </c>
      <c r="AA13" s="1869"/>
      <c r="AB13" s="1869"/>
      <c r="AC13" s="1869"/>
      <c r="AD13" s="1869"/>
      <c r="AE13" s="1869"/>
      <c r="AF13" s="1869"/>
      <c r="AG13" s="1869"/>
      <c r="AH13" s="1869"/>
      <c r="AI13" s="1869"/>
      <c r="AJ13" s="1869"/>
      <c r="AK13" s="1869"/>
      <c r="AL13" s="1869"/>
    </row>
    <row r="14" spans="1:38" s="1868" customFormat="1" ht="15" customHeight="1">
      <c r="A14" s="1872"/>
      <c r="B14" s="1872"/>
      <c r="C14" s="1895"/>
      <c r="D14" s="1980"/>
      <c r="E14" s="1982"/>
      <c r="F14" s="1985"/>
      <c r="G14" s="1986"/>
      <c r="H14" s="1987"/>
      <c r="I14" s="1989" t="s">
        <v>1</v>
      </c>
      <c r="J14" s="1985"/>
      <c r="K14" s="1896"/>
      <c r="L14" s="1897"/>
      <c r="M14" s="1898" t="s">
        <v>54</v>
      </c>
      <c r="N14" s="1882"/>
      <c r="O14" s="1870"/>
      <c r="P14" s="1870"/>
      <c r="Q14" s="1870"/>
      <c r="R14" s="1870"/>
      <c r="S14" s="1870"/>
      <c r="T14" s="1870"/>
      <c r="U14" s="1871"/>
      <c r="V14" s="1871"/>
      <c r="W14" s="1871"/>
      <c r="X14" s="1871"/>
      <c r="Y14" s="1869"/>
      <c r="Z14" s="1869"/>
      <c r="AA14" s="1869"/>
      <c r="AB14" s="1869"/>
      <c r="AC14" s="1869"/>
      <c r="AD14" s="1869"/>
      <c r="AE14" s="1869"/>
      <c r="AF14" s="1869"/>
      <c r="AG14" s="1869"/>
      <c r="AH14" s="1869"/>
      <c r="AI14" s="1869"/>
      <c r="AJ14" s="1869"/>
      <c r="AK14" s="1869"/>
      <c r="AL14" s="1869"/>
    </row>
    <row r="15" spans="1:38" s="1868" customFormat="1" ht="15" customHeight="1">
      <c r="A15" s="1872"/>
      <c r="B15" s="1872"/>
      <c r="C15" s="1895"/>
      <c r="D15" s="1980"/>
      <c r="E15" s="1983"/>
      <c r="F15" s="1985"/>
      <c r="G15" s="1899"/>
      <c r="H15" s="1900"/>
      <c r="I15" s="1901" t="s">
        <v>55</v>
      </c>
      <c r="J15" s="1897"/>
      <c r="K15" s="1897"/>
      <c r="L15" s="1897"/>
      <c r="M15" s="1902"/>
      <c r="N15" s="1882"/>
      <c r="O15" s="1870"/>
      <c r="P15" s="1870"/>
      <c r="Q15" s="1870"/>
      <c r="R15" s="1870"/>
      <c r="S15" s="1870"/>
      <c r="T15" s="1870"/>
      <c r="U15" s="1871"/>
      <c r="V15" s="1871"/>
      <c r="W15" s="1871"/>
      <c r="X15" s="1871"/>
      <c r="Y15" s="1869"/>
      <c r="Z15" s="1869"/>
      <c r="AA15" s="1869"/>
      <c r="AB15" s="1869"/>
      <c r="AC15" s="1869"/>
      <c r="AD15" s="1869"/>
      <c r="AE15" s="1869"/>
      <c r="AF15" s="1869"/>
      <c r="AG15" s="1869"/>
      <c r="AH15" s="1869"/>
      <c r="AI15" s="1869"/>
      <c r="AJ15" s="1869"/>
      <c r="AK15" s="1869"/>
      <c r="AL15" s="1869"/>
    </row>
    <row r="16" spans="1:38" ht="15" customHeight="1">
      <c r="A16" s="1903"/>
      <c r="B16" s="1904"/>
      <c r="C16" s="1905"/>
      <c r="D16" s="1896"/>
      <c r="E16" s="1906" t="s">
        <v>59</v>
      </c>
      <c r="F16" s="1897"/>
      <c r="G16" s="1897"/>
      <c r="H16" s="1897"/>
      <c r="I16" s="1897"/>
      <c r="J16" s="1897"/>
      <c r="K16" s="1897" t="s">
        <v>1</v>
      </c>
      <c r="L16" s="1897"/>
      <c r="M16" s="1902"/>
      <c r="N16" s="1882"/>
    </row>
  </sheetData>
  <sheetProtection formatColumns="0" formatRows="0" insertRows="0" deleteColumns="0" deleteRows="0" sort="0" autoFilter="0"/>
  <mergeCells count="19">
    <mergeCell ref="G11:H11"/>
    <mergeCell ref="K11:L11"/>
    <mergeCell ref="D13:D15"/>
    <mergeCell ref="E13:E15"/>
    <mergeCell ref="F13:F15"/>
    <mergeCell ref="G13:G14"/>
    <mergeCell ref="H13:H14"/>
    <mergeCell ref="I13:I14"/>
    <mergeCell ref="J13:J14"/>
    <mergeCell ref="D4:I4"/>
    <mergeCell ref="D5:I5"/>
    <mergeCell ref="A6:F6"/>
    <mergeCell ref="E7:M7"/>
    <mergeCell ref="A9:A10"/>
    <mergeCell ref="D9:E9"/>
    <mergeCell ref="F9:I9"/>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866141732283472" right="0.70866141732283472" top="0.74803149606299213" bottom="0.74803149606299213" header="0.31496062992125984" footer="0.31496062992125984"/>
  <pageSetup paperSize="9" scale="76" orientation="landscape" r:id="rId1"/>
  <headerFooter>
    <oddHeader>&amp;L&amp;C&amp;R</oddHeader>
    <oddFooter>&amp;L&amp;C&amp;R</oddFooter>
    <evenHeader>&amp;L&amp;C&amp;R</evenHeader>
    <evenFooter>&amp;L&amp;C&amp;R</evenFooter>
  </headerFooter>
  <drawing r:id="rId2"/>
</worksheet>
</file>

<file path=xl/worksheets/sheet41.xml><?xml version="1.0" encoding="utf-8"?>
<worksheet xmlns="http://schemas.openxmlformats.org/spreadsheetml/2006/main" xmlns:r="http://schemas.openxmlformats.org/officeDocument/2006/relationships">
  <sheetPr>
    <tabColor rgb="FFC00000"/>
    <pageSetUpPr fitToPage="1"/>
  </sheetPr>
  <dimension ref="A1:R22"/>
  <sheetViews>
    <sheetView showGridLines="0" topLeftCell="C4" zoomScale="90" workbookViewId="0">
      <selection activeCell="I21" sqref="I21:I22"/>
    </sheetView>
  </sheetViews>
  <sheetFormatPr defaultColWidth="10.5703125" defaultRowHeight="15" customHeight="1"/>
  <cols>
    <col min="1" max="1" width="9.140625" style="1910" hidden="1" customWidth="1"/>
    <col min="2" max="2" width="9.140625" style="1877" hidden="1" customWidth="1"/>
    <col min="3" max="3" width="4.7109375" style="1895" customWidth="1"/>
    <col min="4" max="4" width="6.28515625" style="1877" customWidth="1"/>
    <col min="5" max="5" width="36.7109375" style="1877" customWidth="1"/>
    <col min="6" max="6" width="9.5703125" style="1877" customWidth="1"/>
    <col min="7" max="7" width="42.42578125" style="1877" hidden="1" customWidth="1"/>
    <col min="8" max="8" width="40.7109375" style="1877" customWidth="1"/>
    <col min="9" max="9" width="93.42578125" style="1907" customWidth="1"/>
    <col min="10" max="17" width="10.5703125" style="1877"/>
    <col min="18" max="18" width="10.5703125" style="1914"/>
    <col min="19" max="16384" width="10.5703125" style="1872"/>
  </cols>
  <sheetData>
    <row r="1" spans="1:18" s="1907" customFormat="1" ht="15" hidden="1" customHeight="1">
      <c r="C1" s="1908"/>
      <c r="H1" s="1907">
        <v>4</v>
      </c>
      <c r="R1" s="1909"/>
    </row>
    <row r="2" spans="1:18" ht="22.5" hidden="1" customHeight="1">
      <c r="D2" s="1893"/>
      <c r="E2" s="1911"/>
      <c r="F2" s="1881" t="str">
        <f>IF(TEMPLATE_SPHERE="HEAT","Гкал/час","тыс. куб. м/сутки")</f>
        <v>тыс. куб. м/сутки</v>
      </c>
      <c r="G2" s="1912"/>
      <c r="H2" s="1912"/>
      <c r="I2" s="1913"/>
    </row>
    <row r="3" spans="1:18" s="1907" customFormat="1" ht="15" hidden="1" customHeight="1">
      <c r="C3" s="1908"/>
      <c r="R3" s="1909"/>
    </row>
    <row r="5" spans="1:18" ht="58.5" customHeight="1">
      <c r="D5" s="225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58"/>
      <c r="F5" s="2258"/>
      <c r="G5" s="2258"/>
      <c r="H5" s="2258"/>
    </row>
    <row r="6" spans="1:18" ht="15" customHeight="1">
      <c r="D6" s="2259" t="str">
        <f>IF(org=0,"Не определено",org)</f>
        <v>Акционерное общество "Уральский завод металлоконструкций", г.Екатеринбург</v>
      </c>
      <c r="E6" s="2259"/>
      <c r="F6" s="2259"/>
      <c r="G6" s="2259"/>
      <c r="H6" s="2259"/>
    </row>
    <row r="7" spans="1:18" s="1877" customFormat="1" ht="15" customHeight="1">
      <c r="A7" s="1910"/>
      <c r="C7" s="1895"/>
      <c r="D7" s="1915"/>
      <c r="E7" s="1915"/>
      <c r="F7" s="1915"/>
      <c r="G7" s="1915"/>
      <c r="H7" s="1916"/>
      <c r="I7" s="1907"/>
      <c r="R7" s="1914"/>
    </row>
    <row r="8" spans="1:18" ht="0.75" customHeight="1">
      <c r="H8" s="1907" t="s">
        <v>51</v>
      </c>
    </row>
    <row r="9" spans="1:18" ht="15" customHeight="1">
      <c r="D9" s="1917"/>
      <c r="E9" s="2260" t="s">
        <v>39</v>
      </c>
      <c r="F9" s="2261"/>
      <c r="G9" s="1918" t="str">
        <f>IF(G8="","",INDEX(DIFFERENTIATION_UNMERGE_VD,MATCH(G8,DIFFERENTIATION_ID_DIFF,0)))</f>
        <v/>
      </c>
      <c r="H9" s="1918" t="str">
        <f>IF(H8="","",INDEX(DIFFERENTIATION_UNMERGE_VD,MATCH(H8,DIFFERENTIATION_ID_DIFF,0)))</f>
        <v>Горячее водоснабжение</v>
      </c>
      <c r="I9" s="1970" t="s">
        <v>225</v>
      </c>
    </row>
    <row r="10" spans="1:18" s="1877" customFormat="1" ht="15" customHeight="1">
      <c r="A10" s="1910"/>
      <c r="C10" s="1895"/>
      <c r="D10" s="1917"/>
      <c r="E10" s="2260" t="s">
        <v>482</v>
      </c>
      <c r="F10" s="2261"/>
      <c r="G10" s="1918" t="str">
        <f>IF(G8="","",INDEX(DIFFERENTIATION_UNMERGE_AREA,MATCH(G8,DIFFERENTIATION_ID_DIFF,0)))</f>
        <v/>
      </c>
      <c r="H10" s="1918" t="str">
        <f>IF(H8="","",INDEX(DIFFERENTIATION_UNMERGE_AREA,MATCH(H8,DIFFERENTIATION_ID_DIFF,0)))</f>
        <v>без дифференциации</v>
      </c>
      <c r="I10" s="1970"/>
      <c r="R10" s="1914"/>
    </row>
    <row r="11" spans="1:18" s="1877" customFormat="1" ht="15" customHeight="1">
      <c r="A11" s="1910"/>
      <c r="C11" s="1895"/>
      <c r="D11" s="1917"/>
      <c r="E11" s="2260" t="s">
        <v>483</v>
      </c>
      <c r="F11" s="2261"/>
      <c r="G11" s="1918" t="str">
        <f>IF(G8="","",INDEX(DIFFERENTIATION_UNMERGE_SYSTEM,MATCH(G8,DIFFERENTIATION_ID_DIFF,0)))</f>
        <v/>
      </c>
      <c r="H11" s="1918" t="str">
        <f>IF(H8="","",INDEX(DIFFERENTIATION_UNMERGE_SYSTEM,MATCH(H8,DIFFERENTIATION_ID_DIFF,0)))</f>
        <v>без дифференциации</v>
      </c>
      <c r="I11" s="1970"/>
      <c r="R11" s="1914"/>
    </row>
    <row r="12" spans="1:18" s="1877" customFormat="1" ht="15" customHeight="1">
      <c r="A12" s="1910"/>
      <c r="C12" s="1895"/>
      <c r="D12" s="2264" t="s">
        <v>224</v>
      </c>
      <c r="E12" s="2265"/>
      <c r="F12" s="2265"/>
      <c r="G12" s="1919"/>
      <c r="H12" s="1919"/>
      <c r="I12" s="1970"/>
      <c r="R12" s="1914"/>
    </row>
    <row r="13" spans="1:18" ht="33.75" customHeight="1">
      <c r="D13" s="1881" t="s">
        <v>22</v>
      </c>
      <c r="E13" s="1881" t="s">
        <v>226</v>
      </c>
      <c r="F13" s="1881" t="s">
        <v>484</v>
      </c>
      <c r="G13" s="1920" t="s">
        <v>227</v>
      </c>
      <c r="H13" s="1920" t="s">
        <v>227</v>
      </c>
      <c r="I13" s="1970"/>
    </row>
    <row r="14" spans="1:18" ht="15" hidden="1" customHeight="1">
      <c r="D14" s="1883" t="s">
        <v>43</v>
      </c>
      <c r="E14" s="1883" t="s">
        <v>44</v>
      </c>
      <c r="F14" s="1883" t="s">
        <v>24</v>
      </c>
      <c r="G14" s="1895" t="str">
        <f>G1&amp;".1"</f>
        <v>.1</v>
      </c>
      <c r="H14" s="1895" t="str">
        <f>H1&amp;".1"</f>
        <v>4.1</v>
      </c>
      <c r="I14" s="1913"/>
    </row>
    <row r="15" spans="1:18" ht="47.45" customHeight="1">
      <c r="A15" s="1877"/>
      <c r="C15" s="1891"/>
      <c r="D15" s="1881">
        <v>1</v>
      </c>
      <c r="E15" s="1921" t="str">
        <f>TP_P_A</f>
        <v xml:space="preserve">Количество поданных заявлений </v>
      </c>
      <c r="F15" s="1881" t="s">
        <v>949</v>
      </c>
      <c r="G15" s="1922"/>
      <c r="H15" s="1922">
        <v>0</v>
      </c>
      <c r="I15" s="192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48.4" customHeight="1">
      <c r="A16" s="1877"/>
      <c r="C16" s="1891"/>
      <c r="D16" s="1881">
        <v>2</v>
      </c>
      <c r="E16" s="1921" t="str">
        <f>TP_P_B</f>
        <v xml:space="preserve">Количество исполненных заявлений </v>
      </c>
      <c r="F16" s="1881" t="s">
        <v>949</v>
      </c>
      <c r="G16" s="1922"/>
      <c r="H16" s="1922">
        <v>0</v>
      </c>
      <c r="I16" s="192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53.25" customHeight="1">
      <c r="A17" s="1877"/>
      <c r="C17" s="1891"/>
      <c r="D17" s="1881">
        <v>3</v>
      </c>
      <c r="E17" s="1921" t="str">
        <f>TP_P_V</f>
        <v>Количество заявлений о заключении договоров о подключении (технологическом присоединении)</v>
      </c>
      <c r="F17" s="1881" t="s">
        <v>949</v>
      </c>
      <c r="G17" s="1922"/>
      <c r="H17" s="1922">
        <v>0</v>
      </c>
      <c r="I17" s="192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59.1" customHeight="1">
      <c r="A18" s="1877"/>
      <c r="C18" s="1891"/>
      <c r="D18" s="1881">
        <v>4</v>
      </c>
      <c r="E18" s="1921" t="str">
        <f>TP_P_V_1</f>
        <v>Причины отказа в заключении договора о подключении (технологическом присоединении) к централизованной системе горячего водоснабжения</v>
      </c>
      <c r="F18" s="1881" t="s">
        <v>230</v>
      </c>
      <c r="G18" s="1924"/>
      <c r="H18" s="1924" t="s">
        <v>302</v>
      </c>
      <c r="I18" s="192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108" customHeight="1">
      <c r="A19" s="1877"/>
      <c r="C19" s="1891"/>
      <c r="D19" s="1881">
        <v>5</v>
      </c>
      <c r="E19" s="192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1881" t="str">
        <f>IF(TEMPLATE_SPHERE="HEAT","Гкал/час","тыс. куб. м/сутки")</f>
        <v>тыс. куб. м/сутки</v>
      </c>
      <c r="G19" s="1926">
        <f>SUM(G20:G22)</f>
        <v>0</v>
      </c>
      <c r="H19" s="1926">
        <f>SUM(H20:H22)</f>
        <v>0</v>
      </c>
      <c r="I19" s="192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1877" t="s">
        <v>950</v>
      </c>
      <c r="E20" s="1915"/>
      <c r="I20" s="1927"/>
    </row>
    <row r="21" spans="1:18" ht="87.6" customHeight="1">
      <c r="C21" s="1891"/>
      <c r="D21" s="1893" t="s">
        <v>239</v>
      </c>
      <c r="E21" s="1928" t="s">
        <v>302</v>
      </c>
      <c r="F21" s="1881" t="str">
        <f>IF(TEMPLATE_SPHERE="HEAT","Гкал/час","тыс. куб. м/сутки")</f>
        <v>тыс. куб. м/сутки</v>
      </c>
      <c r="G21" s="1912"/>
      <c r="H21" s="1912">
        <v>0</v>
      </c>
      <c r="I21" s="22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1877"/>
      <c r="C22" s="1877"/>
      <c r="D22" s="1929"/>
      <c r="E22" s="1901" t="s">
        <v>951</v>
      </c>
      <c r="F22" s="1930"/>
      <c r="G22" s="1930"/>
      <c r="H22" s="1930"/>
      <c r="I22" s="2270"/>
      <c r="R22" s="1877"/>
    </row>
  </sheetData>
  <sheetProtection formatColumns="0" formatRows="0" insertRows="0" deleteColumns="0" deleteRows="0" sort="0" autoFilter="0"/>
  <mergeCells count="8">
    <mergeCell ref="I21:I22"/>
    <mergeCell ref="D5:H5"/>
    <mergeCell ref="D6:H6"/>
    <mergeCell ref="E9:F9"/>
    <mergeCell ref="I9:I13"/>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866141732283472" right="0.70866141732283472" top="0.74803149606299213" bottom="0.74803149606299213" header="0.31496062992125984" footer="0.31496062992125984"/>
  <pageSetup paperSize="9" scale="77" orientation="landscape" r:id="rId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08" hidden="1" customWidth="1"/>
    <col min="2" max="2" width="9.140625" style="1806" hidden="1" customWidth="1"/>
    <col min="3" max="3" width="3.7109375" style="1809" customWidth="1"/>
    <col min="4" max="4" width="6.28515625" style="1636" customWidth="1"/>
    <col min="5" max="6" width="64.140625" style="1636" customWidth="1"/>
    <col min="7" max="7" width="141.140625" style="1636" customWidth="1"/>
    <col min="8" max="8" width="10.5703125" style="1636"/>
    <col min="9" max="10" width="10.5703125" style="1628"/>
    <col min="11" max="16" width="10.5703125" style="1636"/>
  </cols>
  <sheetData>
    <row r="1" spans="1:16" ht="14.25" hidden="1" customHeight="1">
      <c r="M1" s="135"/>
      <c r="N1" s="135"/>
      <c r="P1" s="135"/>
    </row>
    <row r="2" spans="1:16" ht="14.25" hidden="1" customHeight="1"/>
    <row r="3" spans="1:16" ht="14.25" hidden="1" customHeight="1"/>
    <row r="4" spans="1:16" ht="3" customHeight="1">
      <c r="C4" s="18"/>
      <c r="D4" s="8"/>
      <c r="E4" s="8"/>
      <c r="F4" s="9"/>
      <c r="G4" s="9"/>
    </row>
    <row r="5" spans="1:16" ht="27.75" customHeight="1">
      <c r="C5" s="18"/>
      <c r="D5" s="202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28"/>
      <c r="F5" s="2028"/>
      <c r="G5" s="2029"/>
    </row>
    <row r="6" spans="1:16" s="1625" customFormat="1" ht="18" customHeight="1">
      <c r="A6" s="672"/>
      <c r="B6" s="297"/>
      <c r="C6" s="261"/>
      <c r="D6" s="2082" t="e">
        <f>IF(org=0,"Не определено",org)</f>
        <v>#REF!</v>
      </c>
      <c r="E6" s="2083"/>
      <c r="F6" s="2083"/>
      <c r="G6" s="2084"/>
      <c r="I6" s="368"/>
      <c r="J6" s="368"/>
    </row>
    <row r="7" spans="1:16" ht="14.25" customHeight="1">
      <c r="C7" s="18"/>
      <c r="D7" s="8"/>
      <c r="E7" s="17"/>
      <c r="F7" s="577"/>
      <c r="G7" s="93"/>
    </row>
    <row r="8" spans="1:16" s="1664" customFormat="1" ht="0.75" customHeight="1">
      <c r="A8" s="1438"/>
      <c r="B8" s="929"/>
      <c r="C8" s="261"/>
      <c r="D8" s="246"/>
      <c r="E8" s="279"/>
      <c r="F8" s="577"/>
      <c r="G8" s="93"/>
      <c r="I8" s="1396"/>
      <c r="J8" s="1396"/>
    </row>
    <row r="9" spans="1:16" ht="14.25" customHeight="1">
      <c r="C9" s="18"/>
      <c r="D9" s="2068" t="s">
        <v>224</v>
      </c>
      <c r="E9" s="2068"/>
      <c r="F9" s="2068"/>
      <c r="G9" s="2271" t="s">
        <v>225</v>
      </c>
    </row>
    <row r="10" spans="1:16" ht="14.25" customHeight="1">
      <c r="C10" s="18"/>
      <c r="D10" s="22" t="s">
        <v>22</v>
      </c>
      <c r="E10" s="24" t="s">
        <v>226</v>
      </c>
      <c r="F10" s="24" t="s">
        <v>316</v>
      </c>
      <c r="G10" s="2271"/>
    </row>
    <row r="11" spans="1:16" ht="12" hidden="1" customHeight="1">
      <c r="C11" s="18"/>
      <c r="D11" s="10"/>
      <c r="E11" s="10"/>
      <c r="F11" s="10"/>
      <c r="G11" s="10"/>
    </row>
    <row r="12" spans="1:16" ht="62.25" customHeight="1">
      <c r="A12" s="92"/>
      <c r="C12" s="18"/>
      <c r="D12" s="53">
        <v>1</v>
      </c>
      <c r="E12" s="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98" t="s">
        <v>230</v>
      </c>
      <c r="G12" s="55"/>
    </row>
    <row r="13" spans="1:16" ht="22.5" customHeight="1">
      <c r="A13" s="92"/>
      <c r="C13" s="18"/>
      <c r="D13" s="53" t="s">
        <v>856</v>
      </c>
      <c r="E13" s="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98" t="s">
        <v>230</v>
      </c>
      <c r="G13" s="55"/>
    </row>
    <row r="14" spans="1:16" ht="14.25" customHeight="1">
      <c r="A14" s="92"/>
      <c r="C14" s="18"/>
      <c r="D14" s="53" t="s">
        <v>892</v>
      </c>
      <c r="E14" s="95"/>
      <c r="F14" s="113"/>
      <c r="G14" s="202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92"/>
      <c r="C15" s="18"/>
      <c r="D15" s="25"/>
      <c r="E15" s="230" t="s">
        <v>952</v>
      </c>
      <c r="F15" s="101"/>
      <c r="G15" s="2024"/>
    </row>
    <row r="16" spans="1:16" ht="14.25" customHeight="1">
      <c r="A16" s="92"/>
      <c r="C16" s="18"/>
      <c r="D16" s="53" t="s">
        <v>858</v>
      </c>
      <c r="E16" s="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98" t="s">
        <v>230</v>
      </c>
      <c r="G16" s="220"/>
    </row>
    <row r="17" spans="1:16" ht="14.25" customHeight="1">
      <c r="A17" s="92"/>
      <c r="C17" s="18"/>
      <c r="D17" s="53" t="s">
        <v>900</v>
      </c>
      <c r="E17" s="95"/>
      <c r="F17" s="275"/>
      <c r="G17" s="202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805" customFormat="1" ht="21" customHeight="1">
      <c r="A18" s="225"/>
      <c r="B18" s="52"/>
      <c r="C18" s="183"/>
      <c r="D18" s="229"/>
      <c r="E18" s="230" t="s">
        <v>953</v>
      </c>
      <c r="F18" s="221"/>
      <c r="G18" s="2024"/>
      <c r="I18" s="231"/>
      <c r="J18" s="231"/>
    </row>
    <row r="19" spans="1:16" s="1625" customFormat="1" ht="256.5" hidden="1" customHeight="1">
      <c r="A19" s="225"/>
      <c r="B19" s="297"/>
      <c r="C19" s="261"/>
      <c r="D19" s="674" t="s">
        <v>860</v>
      </c>
      <c r="E19" s="673" t="s">
        <v>954</v>
      </c>
      <c r="F19" s="275"/>
      <c r="G19" s="220" t="s">
        <v>955</v>
      </c>
      <c r="I19" s="368"/>
      <c r="J19" s="368"/>
    </row>
    <row r="20" spans="1:16" s="1805" customFormat="1" ht="14.25" customHeight="1">
      <c r="A20" s="225"/>
      <c r="B20" s="52"/>
      <c r="C20" s="183"/>
      <c r="D20" s="675">
        <v>2</v>
      </c>
      <c r="E20" s="213" t="s">
        <v>956</v>
      </c>
      <c r="F20" s="98" t="s">
        <v>230</v>
      </c>
      <c r="G20" s="220"/>
      <c r="I20" s="231"/>
      <c r="J20" s="231"/>
    </row>
    <row r="21" spans="1:16" s="1805" customFormat="1" ht="18.75" hidden="1" customHeight="1">
      <c r="A21" s="225"/>
      <c r="B21" s="52"/>
      <c r="C21" s="183"/>
      <c r="D21" s="216" t="s">
        <v>785</v>
      </c>
      <c r="E21" s="215"/>
      <c r="F21" s="214"/>
      <c r="G21" s="224"/>
      <c r="H21" s="217"/>
      <c r="I21" s="231"/>
      <c r="J21" s="231"/>
    </row>
    <row r="22" spans="1:16" ht="15" customHeight="1">
      <c r="A22" s="92"/>
      <c r="C22" s="18"/>
      <c r="D22" s="25"/>
      <c r="E22" s="103" t="s">
        <v>957</v>
      </c>
      <c r="F22" s="221"/>
      <c r="G22" s="222"/>
    </row>
    <row r="23" spans="1:16" s="1664" customFormat="1" ht="22.5" hidden="1" customHeight="1">
      <c r="A23" s="225"/>
      <c r="B23" s="929"/>
      <c r="C23" s="261"/>
      <c r="D23" s="1441" t="s">
        <v>44</v>
      </c>
      <c r="E23" s="97" t="s">
        <v>958</v>
      </c>
      <c r="F23" s="1439" t="s">
        <v>230</v>
      </c>
      <c r="G23" s="227"/>
      <c r="I23" s="1396"/>
      <c r="J23" s="1396"/>
    </row>
    <row r="24" spans="1:16" s="1664" customFormat="1" ht="14.25" hidden="1" customHeight="1">
      <c r="A24" s="225"/>
      <c r="B24" s="929"/>
      <c r="C24" s="261"/>
      <c r="D24" s="1441" t="s">
        <v>541</v>
      </c>
      <c r="E24" s="1440" t="s">
        <v>959</v>
      </c>
      <c r="F24" s="1439" t="s">
        <v>230</v>
      </c>
      <c r="G24" s="220"/>
      <c r="I24" s="1396"/>
      <c r="J24" s="1396"/>
    </row>
    <row r="25" spans="1:16" s="1664" customFormat="1" ht="14.25" hidden="1" customHeight="1">
      <c r="A25" s="225"/>
      <c r="B25" s="929"/>
      <c r="C25" s="261"/>
      <c r="D25" s="1441" t="s">
        <v>544</v>
      </c>
      <c r="E25" s="95"/>
      <c r="F25" s="275"/>
      <c r="G25" s="2022" t="s">
        <v>960</v>
      </c>
      <c r="I25" s="1396"/>
      <c r="J25" s="1396"/>
    </row>
    <row r="26" spans="1:16" s="1664" customFormat="1" ht="22.5" hidden="1" customHeight="1">
      <c r="A26" s="225"/>
      <c r="B26" s="929"/>
      <c r="C26" s="261"/>
      <c r="D26" s="229"/>
      <c r="E26" s="230" t="s">
        <v>961</v>
      </c>
      <c r="F26" s="221"/>
      <c r="G26" s="2024"/>
      <c r="I26" s="1396"/>
      <c r="J26" s="1396"/>
    </row>
    <row r="27" spans="1:16" ht="3" customHeight="1"/>
    <row r="28" spans="1:16" ht="14.25" customHeight="1">
      <c r="D28" s="219"/>
      <c r="E28" s="218"/>
      <c r="F28" s="194"/>
      <c r="G28" s="194"/>
      <c r="H28" s="194"/>
      <c r="I28" s="194"/>
      <c r="J28" s="194"/>
      <c r="K28" s="194"/>
      <c r="L28" s="194"/>
      <c r="M28" s="194"/>
      <c r="N28" s="194"/>
      <c r="O28" s="194"/>
      <c r="P28" s="194"/>
    </row>
    <row r="29" spans="1:16" ht="14.25" customHeight="1">
      <c r="D29" s="219"/>
      <c r="E29" s="440"/>
    </row>
    <row r="31" spans="1:16" ht="14.25" customHeight="1">
      <c r="E31" s="58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6" tint="0.39997558519241921"/>
  </sheetPr>
  <dimension ref="A1:L42"/>
  <sheetViews>
    <sheetView showGridLines="0" topLeftCell="C13" zoomScale="90" workbookViewId="0"/>
  </sheetViews>
  <sheetFormatPr defaultColWidth="10.5703125" defaultRowHeight="14.25" customHeight="1"/>
  <cols>
    <col min="1" max="1" width="9.140625" style="1689" hidden="1" customWidth="1"/>
    <col min="2" max="2" width="9.140625" style="1806" hidden="1" customWidth="1"/>
    <col min="3" max="3" width="3.7109375" style="1809" customWidth="1"/>
    <col min="4" max="4" width="6.28515625" style="1636" customWidth="1"/>
    <col min="5" max="5" width="63.42578125" style="1636" customWidth="1"/>
    <col min="6" max="6" width="1.7109375" style="1636" hidden="1" customWidth="1"/>
    <col min="7" max="8" width="35.7109375" style="1636" customWidth="1"/>
    <col min="9" max="9" width="91.5703125" style="1636" customWidth="1"/>
    <col min="10" max="10" width="68.85546875" style="1636" customWidth="1"/>
    <col min="11" max="12" width="10.5703125" style="1628"/>
  </cols>
  <sheetData>
    <row r="1" spans="1:12" ht="14.25" hidden="1" customHeight="1"/>
    <row r="2" spans="1:12" s="1664" customFormat="1" ht="18.75" hidden="1" customHeight="1">
      <c r="A2" s="1451"/>
      <c r="B2" s="929"/>
      <c r="C2" s="1470" t="s">
        <v>56</v>
      </c>
      <c r="D2" s="1441"/>
      <c r="E2" s="99"/>
      <c r="F2" s="1439"/>
      <c r="G2" s="1439" t="s">
        <v>230</v>
      </c>
      <c r="H2" s="930"/>
      <c r="K2" s="1396"/>
      <c r="L2" s="1396"/>
    </row>
    <row r="3" spans="1:12" s="1664" customFormat="1" ht="14.25" hidden="1" customHeight="1">
      <c r="A3" s="1142"/>
      <c r="B3" s="929"/>
      <c r="C3" s="226"/>
      <c r="K3" s="1396"/>
      <c r="L3" s="1396"/>
    </row>
    <row r="4" spans="1:12" s="1664" customFormat="1" ht="18.75" hidden="1" customHeight="1">
      <c r="A4" s="1451"/>
      <c r="B4" s="929"/>
      <c r="C4" s="1470" t="s">
        <v>56</v>
      </c>
      <c r="D4" s="1441"/>
      <c r="E4" s="105" t="s">
        <v>962</v>
      </c>
      <c r="F4" s="1439"/>
      <c r="G4" s="137"/>
      <c r="H4" s="1439" t="s">
        <v>230</v>
      </c>
      <c r="K4" s="1396"/>
      <c r="L4" s="1396"/>
    </row>
    <row r="5" spans="1:12" s="1664" customFormat="1" ht="14.25" hidden="1" customHeight="1">
      <c r="A5" s="1142"/>
      <c r="B5" s="929"/>
      <c r="C5" s="226"/>
      <c r="K5" s="1396"/>
      <c r="L5" s="1396"/>
    </row>
    <row r="6" spans="1:12" s="1664" customFormat="1" ht="18.75" hidden="1" customHeight="1">
      <c r="A6" s="1451"/>
      <c r="B6" s="929"/>
      <c r="C6" s="1470" t="s">
        <v>56</v>
      </c>
      <c r="D6" s="1441"/>
      <c r="E6" s="106" t="s">
        <v>963</v>
      </c>
      <c r="F6" s="1439"/>
      <c r="G6" s="137"/>
      <c r="H6" s="1439" t="s">
        <v>230</v>
      </c>
      <c r="K6" s="1396"/>
      <c r="L6" s="1396"/>
    </row>
    <row r="7" spans="1:12" s="1664" customFormat="1" ht="14.25" hidden="1" customHeight="1">
      <c r="A7" s="1142"/>
      <c r="B7" s="929"/>
      <c r="C7" s="226"/>
      <c r="K7" s="1396"/>
      <c r="L7" s="1396"/>
    </row>
    <row r="8" spans="1:12" s="1664" customFormat="1" ht="18.75" hidden="1" customHeight="1">
      <c r="A8" s="1451"/>
      <c r="B8" s="929"/>
      <c r="C8" s="1470" t="s">
        <v>56</v>
      </c>
      <c r="D8" s="1441"/>
      <c r="E8" s="106" t="s">
        <v>964</v>
      </c>
      <c r="F8" s="1439"/>
      <c r="G8" s="137"/>
      <c r="H8" s="1439" t="s">
        <v>230</v>
      </c>
      <c r="K8" s="1396"/>
      <c r="L8" s="1396"/>
    </row>
    <row r="9" spans="1:12" s="1664" customFormat="1" ht="14.25" hidden="1" customHeight="1">
      <c r="A9" s="1142"/>
      <c r="B9" s="929"/>
      <c r="C9" s="226"/>
      <c r="K9" s="1396"/>
      <c r="L9" s="1396"/>
    </row>
    <row r="10" spans="1:12" s="1664" customFormat="1" ht="18.75" hidden="1" customHeight="1">
      <c r="A10" s="1451"/>
      <c r="B10" s="929"/>
      <c r="C10" s="1470" t="s">
        <v>56</v>
      </c>
      <c r="D10" s="1441"/>
      <c r="E10" s="106" t="s">
        <v>965</v>
      </c>
      <c r="F10" s="1439"/>
      <c r="G10" s="1442"/>
      <c r="H10" s="1439" t="s">
        <v>230</v>
      </c>
      <c r="K10" s="1396"/>
      <c r="L10" s="1396" t="s">
        <v>966</v>
      </c>
    </row>
    <row r="11" spans="1:12" ht="14.25" hidden="1" customHeight="1"/>
    <row r="12" spans="1:12" ht="14.25" hidden="1" customHeight="1"/>
    <row r="13" spans="1:12" ht="14.25" customHeight="1">
      <c r="C13" s="18"/>
      <c r="D13" s="8"/>
      <c r="E13" s="8"/>
      <c r="F13" s="8"/>
      <c r="G13" s="8"/>
      <c r="H13" s="9"/>
      <c r="I13" s="9"/>
    </row>
    <row r="14" spans="1:12" ht="27.75" customHeight="1">
      <c r="C14" s="18"/>
      <c r="D14" s="202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28"/>
      <c r="F14" s="2028"/>
      <c r="G14" s="2028"/>
      <c r="H14" s="2029"/>
      <c r="J14" s="1401"/>
    </row>
    <row r="15" spans="1:12" s="1664" customFormat="1" ht="14.25" customHeight="1">
      <c r="A15" s="1142"/>
      <c r="B15" s="929"/>
      <c r="C15" s="261"/>
      <c r="D15" s="2082" t="e">
        <f>IF(org=0,"Не определено",org)</f>
        <v>#REF!</v>
      </c>
      <c r="E15" s="2083"/>
      <c r="F15" s="2083"/>
      <c r="G15" s="2083"/>
      <c r="H15" s="2084"/>
      <c r="J15" s="650"/>
      <c r="K15" s="1396"/>
      <c r="L15" s="1396"/>
    </row>
    <row r="16" spans="1:12" ht="14.25" customHeight="1">
      <c r="C16" s="18"/>
      <c r="D16" s="8"/>
      <c r="E16" s="17"/>
      <c r="F16" s="17"/>
      <c r="G16" s="17"/>
      <c r="H16" s="577"/>
      <c r="I16" s="93"/>
    </row>
    <row r="17" spans="1:12" s="1664" customFormat="1" ht="14.25" hidden="1" customHeight="1">
      <c r="A17" s="1142"/>
      <c r="B17" s="929"/>
      <c r="C17" s="261"/>
      <c r="D17" s="246"/>
      <c r="E17" s="279"/>
      <c r="F17" s="279"/>
      <c r="G17" s="279"/>
      <c r="H17" s="577"/>
      <c r="I17" s="93"/>
      <c r="K17" s="1396"/>
      <c r="L17" s="1396"/>
    </row>
    <row r="18" spans="1:12" ht="21" customHeight="1">
      <c r="C18" s="18"/>
      <c r="D18" s="2068" t="s">
        <v>224</v>
      </c>
      <c r="E18" s="2068"/>
      <c r="F18" s="2068"/>
      <c r="G18" s="2068"/>
      <c r="H18" s="2068"/>
      <c r="I18" s="2271" t="s">
        <v>225</v>
      </c>
    </row>
    <row r="19" spans="1:12" ht="21" customHeight="1">
      <c r="C19" s="18"/>
      <c r="D19" s="22" t="s">
        <v>22</v>
      </c>
      <c r="E19" s="24" t="s">
        <v>226</v>
      </c>
      <c r="F19" s="24"/>
      <c r="G19" s="24" t="s">
        <v>227</v>
      </c>
      <c r="H19" s="24" t="s">
        <v>316</v>
      </c>
      <c r="I19" s="2271"/>
    </row>
    <row r="20" spans="1:12" ht="12" hidden="1" customHeight="1">
      <c r="C20" s="18"/>
      <c r="D20" s="10"/>
      <c r="E20" s="10"/>
      <c r="F20" s="10"/>
      <c r="G20" s="10"/>
      <c r="H20" s="10"/>
      <c r="I20" s="10"/>
    </row>
    <row r="21" spans="1:12" ht="14.25" customHeight="1">
      <c r="A21" s="1451"/>
      <c r="C21" s="18"/>
      <c r="D21" s="53">
        <v>1</v>
      </c>
      <c r="E21" s="2272" t="s">
        <v>967</v>
      </c>
      <c r="F21" s="2272"/>
      <c r="G21" s="2272"/>
      <c r="H21" s="2272"/>
      <c r="I21" s="108"/>
    </row>
    <row r="22" spans="1:12" ht="20.25" customHeight="1">
      <c r="A22" s="1451"/>
      <c r="C22" s="18"/>
      <c r="D22" s="53" t="s">
        <v>856</v>
      </c>
      <c r="E22" s="94" t="s">
        <v>968</v>
      </c>
      <c r="F22" s="98"/>
      <c r="G22" s="1477"/>
      <c r="H22" s="98" t="s">
        <v>230</v>
      </c>
      <c r="I22" s="55" t="s">
        <v>969</v>
      </c>
    </row>
    <row r="23" spans="1:12" ht="45" customHeight="1">
      <c r="A23" s="1451"/>
      <c r="C23" s="18"/>
      <c r="D23" s="53" t="s">
        <v>858</v>
      </c>
      <c r="E23" s="94" t="s">
        <v>970</v>
      </c>
      <c r="F23" s="98"/>
      <c r="G23" s="137"/>
      <c r="H23" s="113"/>
      <c r="I23" s="138" t="s">
        <v>971</v>
      </c>
    </row>
    <row r="24" spans="1:12" ht="14.25" customHeight="1">
      <c r="A24" s="1451"/>
      <c r="B24" s="52">
        <v>3</v>
      </c>
      <c r="C24" s="18"/>
      <c r="D24" s="53">
        <v>2</v>
      </c>
      <c r="E24" s="11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98"/>
      <c r="G24" s="98" t="s">
        <v>230</v>
      </c>
      <c r="H24" s="113"/>
      <c r="I24" s="139" t="s">
        <v>722</v>
      </c>
    </row>
    <row r="25" spans="1:12" ht="46.5" customHeight="1">
      <c r="A25" s="1451"/>
      <c r="C25" s="18"/>
      <c r="D25" s="53">
        <v>3</v>
      </c>
      <c r="E25" s="227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72"/>
      <c r="G25" s="2272"/>
      <c r="H25" s="2272"/>
      <c r="I25" s="136"/>
    </row>
    <row r="26" spans="1:12" ht="14.25" customHeight="1">
      <c r="A26" s="1451"/>
      <c r="C26" s="18"/>
      <c r="D26" s="53" t="s">
        <v>250</v>
      </c>
      <c r="E26" s="99"/>
      <c r="F26" s="98"/>
      <c r="G26" s="98" t="s">
        <v>230</v>
      </c>
      <c r="H26" s="113"/>
      <c r="I26" s="2022" t="s">
        <v>972</v>
      </c>
    </row>
    <row r="27" spans="1:12" ht="15" customHeight="1">
      <c r="A27" s="1451" t="s">
        <v>43</v>
      </c>
      <c r="C27" s="18"/>
      <c r="D27" s="25"/>
      <c r="E27" s="103" t="s">
        <v>957</v>
      </c>
      <c r="F27" s="104"/>
      <c r="G27" s="104"/>
      <c r="H27" s="101"/>
      <c r="I27" s="2024"/>
    </row>
    <row r="28" spans="1:12" ht="38.25" customHeight="1">
      <c r="A28" s="1451"/>
      <c r="B28" s="52">
        <v>3</v>
      </c>
      <c r="C28" s="18"/>
      <c r="D28" s="53">
        <v>4</v>
      </c>
      <c r="E28" s="227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72"/>
      <c r="G28" s="2272"/>
      <c r="H28" s="2272"/>
      <c r="I28" s="136"/>
    </row>
    <row r="29" spans="1:12" ht="20.25" customHeight="1">
      <c r="A29" s="1451"/>
      <c r="C29" s="18"/>
      <c r="D29" s="53" t="s">
        <v>586</v>
      </c>
      <c r="E29" s="105" t="s">
        <v>962</v>
      </c>
      <c r="F29" s="98"/>
      <c r="G29" s="137"/>
      <c r="H29" s="98" t="s">
        <v>230</v>
      </c>
      <c r="I29" s="2022" t="s">
        <v>973</v>
      </c>
    </row>
    <row r="30" spans="1:12" ht="15" customHeight="1">
      <c r="A30" s="1451" t="s">
        <v>44</v>
      </c>
      <c r="C30" s="18"/>
      <c r="D30" s="25"/>
      <c r="E30" s="103" t="s">
        <v>957</v>
      </c>
      <c r="F30" s="104"/>
      <c r="G30" s="104"/>
      <c r="H30" s="101"/>
      <c r="I30" s="2024"/>
    </row>
    <row r="31" spans="1:12" ht="30" customHeight="1">
      <c r="A31" s="1451"/>
      <c r="B31" s="52">
        <v>3</v>
      </c>
      <c r="C31" s="18"/>
      <c r="D31" s="53">
        <v>5</v>
      </c>
      <c r="E31" s="227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72"/>
      <c r="G31" s="2272"/>
      <c r="H31" s="2272"/>
      <c r="I31" s="136"/>
    </row>
    <row r="32" spans="1:12" ht="26.25" customHeight="1">
      <c r="A32" s="1451"/>
      <c r="C32" s="18"/>
      <c r="D32" s="53" t="s">
        <v>239</v>
      </c>
      <c r="E32" s="22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16"/>
      <c r="G32" s="2216"/>
      <c r="H32" s="2216"/>
      <c r="I32" s="136"/>
    </row>
    <row r="33" spans="1:12" ht="14.25" customHeight="1">
      <c r="A33" s="1451"/>
      <c r="C33" s="18"/>
      <c r="D33" s="53" t="s">
        <v>974</v>
      </c>
      <c r="E33" s="106" t="s">
        <v>963</v>
      </c>
      <c r="F33" s="98"/>
      <c r="G33" s="137"/>
      <c r="H33" s="98" t="s">
        <v>230</v>
      </c>
      <c r="I33" s="2022" t="s">
        <v>975</v>
      </c>
    </row>
    <row r="34" spans="1:12" ht="15" customHeight="1">
      <c r="A34" s="1451" t="s">
        <v>24</v>
      </c>
      <c r="C34" s="18"/>
      <c r="D34" s="25"/>
      <c r="E34" s="104" t="s">
        <v>957</v>
      </c>
      <c r="F34" s="100"/>
      <c r="G34" s="100"/>
      <c r="H34" s="101"/>
      <c r="I34" s="2024"/>
    </row>
    <row r="35" spans="1:12" ht="24" customHeight="1">
      <c r="A35" s="1451"/>
      <c r="C35" s="18"/>
      <c r="D35" s="53" t="s">
        <v>241</v>
      </c>
      <c r="E35" s="22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16"/>
      <c r="G35" s="2216"/>
      <c r="H35" s="2216"/>
      <c r="I35" s="136"/>
    </row>
    <row r="36" spans="1:12" ht="14.25" customHeight="1">
      <c r="A36" s="1451"/>
      <c r="C36" s="18"/>
      <c r="D36" s="53" t="s">
        <v>976</v>
      </c>
      <c r="E36" s="106" t="s">
        <v>964</v>
      </c>
      <c r="F36" s="98"/>
      <c r="G36" s="137"/>
      <c r="H36" s="98" t="s">
        <v>230</v>
      </c>
      <c r="I36" s="2000" t="s">
        <v>977</v>
      </c>
    </row>
    <row r="37" spans="1:12" ht="15" customHeight="1">
      <c r="A37" s="1451" t="s">
        <v>25</v>
      </c>
      <c r="C37" s="18"/>
      <c r="D37" s="25"/>
      <c r="E37" s="104" t="s">
        <v>957</v>
      </c>
      <c r="F37" s="100"/>
      <c r="G37" s="100"/>
      <c r="H37" s="101"/>
      <c r="I37" s="2000"/>
    </row>
    <row r="38" spans="1:12" ht="26.25" customHeight="1">
      <c r="A38" s="1451"/>
      <c r="C38" s="18"/>
      <c r="D38" s="53" t="s">
        <v>244</v>
      </c>
      <c r="E38" s="22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16"/>
      <c r="G38" s="2216"/>
      <c r="H38" s="2216"/>
      <c r="I38" s="136"/>
    </row>
    <row r="39" spans="1:12" ht="14.25" customHeight="1">
      <c r="A39" s="1451"/>
      <c r="C39" s="18"/>
      <c r="D39" s="53" t="s">
        <v>715</v>
      </c>
      <c r="E39" s="106" t="s">
        <v>965</v>
      </c>
      <c r="F39" s="98"/>
      <c r="G39" s="107"/>
      <c r="H39" s="98" t="s">
        <v>230</v>
      </c>
      <c r="I39" s="2022" t="s">
        <v>978</v>
      </c>
      <c r="L39" s="57" t="s">
        <v>966</v>
      </c>
    </row>
    <row r="40" spans="1:12" ht="15" customHeight="1">
      <c r="A40" s="1451" t="s">
        <v>45</v>
      </c>
      <c r="C40" s="18"/>
      <c r="D40" s="25"/>
      <c r="E40" s="104" t="s">
        <v>957</v>
      </c>
      <c r="F40" s="100"/>
      <c r="G40" s="100"/>
      <c r="H40" s="101"/>
      <c r="I40" s="2024"/>
    </row>
    <row r="41" spans="1:12" s="1810" customFormat="1" ht="3" customHeight="1">
      <c r="A41" s="1451"/>
      <c r="K41" s="96"/>
      <c r="L41" s="96"/>
    </row>
    <row r="42" spans="1:12" ht="24.75" customHeight="1">
      <c r="D42" s="1449" t="s">
        <v>637</v>
      </c>
      <c r="E42" s="211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10"/>
      <c r="G42" s="2110"/>
      <c r="H42" s="2110"/>
      <c r="I42" s="2110"/>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811" hidden="1" customWidth="1"/>
    <col min="3" max="3" width="9.140625" style="1749" hidden="1" customWidth="1"/>
    <col min="4" max="4" width="3.7109375" style="1695" customWidth="1"/>
    <col min="5" max="5" width="6.28515625" style="1812" customWidth="1"/>
    <col min="6" max="6" width="46.7109375" style="1812" customWidth="1"/>
    <col min="7" max="7" width="35.7109375" style="1812" customWidth="1"/>
    <col min="8" max="8" width="3.7109375" style="1812" customWidth="1"/>
    <col min="9" max="10" width="11.7109375" style="1812" customWidth="1"/>
    <col min="11" max="12" width="35.7109375" style="1812" customWidth="1"/>
    <col min="13" max="13" width="84.85546875" style="1812" customWidth="1"/>
    <col min="14" max="14" width="10.5703125" style="1812"/>
    <col min="15" max="16" width="10.5703125" style="1807"/>
    <col min="17" max="33" width="10.5703125" style="1812"/>
  </cols>
  <sheetData>
    <row r="1" spans="1:33" s="1664" customFormat="1" ht="14.25" hidden="1" customHeight="1">
      <c r="A1" s="1511"/>
      <c r="B1" s="1511"/>
      <c r="C1" s="253"/>
      <c r="D1" s="226"/>
      <c r="N1" s="1406">
        <f>IFERROR(MATCH("метод экономически обоснованных расходов (затрат)",OFFER_METHOD,0),0)</f>
        <v>0</v>
      </c>
      <c r="O1" s="1396"/>
      <c r="P1" s="1396"/>
      <c r="T1" s="634"/>
      <c r="AG1" s="135"/>
    </row>
    <row r="2" spans="1:33" s="1664" customFormat="1" ht="18.75" hidden="1" customHeight="1">
      <c r="A2" s="1512" t="s">
        <v>93</v>
      </c>
      <c r="B2" s="1512" t="s">
        <v>94</v>
      </c>
      <c r="C2" s="253"/>
      <c r="D2" s="226"/>
      <c r="E2" s="814"/>
      <c r="F2" s="814"/>
      <c r="G2" s="2230" t="str">
        <f>INDEX(PT_DIFFERENTIATION_NTAR,MATCH(B2,PT_DIFFERENTIATION_NTAR_ID,0))</f>
        <v/>
      </c>
      <c r="H2" s="1596"/>
      <c r="I2" s="1478"/>
      <c r="J2" s="1508"/>
      <c r="K2" s="1597"/>
      <c r="L2" s="1596" t="s">
        <v>230</v>
      </c>
      <c r="M2" s="1606"/>
      <c r="N2" s="217"/>
      <c r="O2" s="1396"/>
      <c r="P2" s="1396"/>
    </row>
    <row r="3" spans="1:33" s="1664" customFormat="1" ht="18.75" hidden="1" customHeight="1">
      <c r="A3" s="1512"/>
      <c r="B3" s="1512"/>
      <c r="C3" s="253" t="s">
        <v>979</v>
      </c>
      <c r="D3" s="226"/>
      <c r="E3" s="814"/>
      <c r="F3" s="814"/>
      <c r="G3" s="2230"/>
      <c r="H3" s="1270"/>
      <c r="I3" s="492" t="s">
        <v>980</v>
      </c>
      <c r="J3" s="429"/>
      <c r="K3" s="1270"/>
      <c r="L3" s="114"/>
      <c r="M3" s="1606"/>
      <c r="N3" s="217"/>
      <c r="O3" s="1396"/>
      <c r="P3" s="1396"/>
    </row>
    <row r="4" spans="1:33" s="1664" customFormat="1" ht="14.25" hidden="1" customHeight="1">
      <c r="A4" s="1511"/>
      <c r="B4" s="1511"/>
      <c r="C4" s="253"/>
      <c r="D4" s="226"/>
      <c r="N4" s="1406">
        <f>IFERROR(MATCH("метод экономически обоснованных расходов (затрат)",OFFER_METHOD,0),0)</f>
        <v>0</v>
      </c>
      <c r="O4" s="1396"/>
      <c r="P4" s="1396"/>
      <c r="T4" s="634"/>
      <c r="AG4" s="135"/>
    </row>
    <row r="5" spans="1:33" s="1664" customFormat="1" ht="18.75" hidden="1" customHeight="1">
      <c r="A5" s="1512" t="s">
        <v>93</v>
      </c>
      <c r="B5" s="1512" t="s">
        <v>94</v>
      </c>
      <c r="C5" s="253"/>
      <c r="D5" s="226"/>
      <c r="E5" s="814"/>
      <c r="F5" s="814"/>
      <c r="G5" s="2230" t="str">
        <f>INDEX(PT_DIFFERENTIATION_NTAR,MATCH(B5,PT_DIFFERENTIATION_NTAR_ID,0))</f>
        <v/>
      </c>
      <c r="H5" s="1596"/>
      <c r="I5" s="1478"/>
      <c r="J5" s="1508"/>
      <c r="K5" s="1510"/>
      <c r="L5" s="1596" t="s">
        <v>230</v>
      </c>
      <c r="M5" s="1606"/>
      <c r="N5" s="217"/>
      <c r="O5" s="1396"/>
      <c r="P5" s="1396"/>
    </row>
    <row r="6" spans="1:33" s="1664" customFormat="1" ht="18.75" hidden="1" customHeight="1">
      <c r="A6" s="1512"/>
      <c r="B6" s="1512"/>
      <c r="C6" s="253" t="s">
        <v>981</v>
      </c>
      <c r="D6" s="226"/>
      <c r="E6" s="814"/>
      <c r="F6" s="814"/>
      <c r="G6" s="2230"/>
      <c r="H6" s="1270"/>
      <c r="I6" s="492" t="s">
        <v>980</v>
      </c>
      <c r="J6" s="429"/>
      <c r="K6" s="1270"/>
      <c r="L6" s="114"/>
      <c r="M6" s="1606"/>
      <c r="N6" s="217"/>
      <c r="O6" s="1396"/>
      <c r="P6" s="1396"/>
    </row>
    <row r="7" spans="1:33" s="1664" customFormat="1" ht="14.25" hidden="1" customHeight="1">
      <c r="A7" s="1511"/>
      <c r="B7" s="1511"/>
      <c r="C7" s="253"/>
      <c r="D7" s="226"/>
      <c r="N7" s="1406">
        <f>IFERROR(MATCH("метод экономически обоснованных расходов (затрат)",OFFER_METHOD,0),0)</f>
        <v>0</v>
      </c>
      <c r="O7" s="1396"/>
      <c r="P7" s="1396"/>
      <c r="T7" s="634"/>
      <c r="AG7" s="135"/>
    </row>
    <row r="8" spans="1:33" s="1664" customFormat="1" ht="56.25" hidden="1" customHeight="1">
      <c r="A8" s="1512"/>
      <c r="B8" s="1512"/>
      <c r="C8" s="253"/>
      <c r="D8" s="226"/>
      <c r="E8" s="814"/>
      <c r="F8" s="814"/>
      <c r="G8" s="814"/>
      <c r="H8" s="1506"/>
      <c r="I8" s="1478"/>
      <c r="J8" s="1508"/>
      <c r="K8" s="1597"/>
      <c r="L8" s="1506" t="s">
        <v>230</v>
      </c>
      <c r="M8" s="1606"/>
      <c r="N8" s="217"/>
      <c r="O8" s="1396"/>
      <c r="P8" s="1396"/>
    </row>
    <row r="9" spans="1:33" ht="14.25" hidden="1" customHeight="1">
      <c r="T9" s="282"/>
      <c r="AG9" s="135"/>
    </row>
    <row r="10" spans="1:33" s="1664" customFormat="1" ht="56.25" hidden="1" customHeight="1">
      <c r="A10" s="1512"/>
      <c r="B10" s="1512"/>
      <c r="C10" s="253"/>
      <c r="D10" s="226"/>
      <c r="E10" s="814"/>
      <c r="F10" s="814"/>
      <c r="G10" s="814"/>
      <c r="H10" s="1505"/>
      <c r="I10" s="1478"/>
      <c r="J10" s="1508"/>
      <c r="K10" s="1510"/>
      <c r="L10" s="1506" t="s">
        <v>230</v>
      </c>
      <c r="M10" s="1606"/>
      <c r="N10" s="217"/>
      <c r="O10" s="1396"/>
      <c r="P10" s="1396"/>
    </row>
    <row r="11" spans="1:33" ht="14.25" hidden="1" customHeight="1"/>
    <row r="12" spans="1:33" ht="14.25" hidden="1" customHeight="1"/>
    <row r="13" spans="1:33" ht="6" customHeight="1">
      <c r="D13" s="261"/>
      <c r="E13" s="246"/>
      <c r="F13" s="246"/>
      <c r="G13" s="246"/>
      <c r="H13" s="246"/>
      <c r="I13" s="246"/>
      <c r="J13" s="246"/>
      <c r="K13" s="246"/>
      <c r="L13" s="9"/>
      <c r="M13" s="9"/>
    </row>
    <row r="14" spans="1:33" ht="14.25" customHeight="1">
      <c r="D14" s="261"/>
      <c r="E14" s="227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73"/>
      <c r="G14" s="2273"/>
      <c r="H14" s="2273"/>
      <c r="I14" s="2273"/>
      <c r="J14" s="2273"/>
      <c r="K14" s="2273"/>
      <c r="L14" s="2273"/>
      <c r="M14" s="116"/>
    </row>
    <row r="15" spans="1:33" ht="6" customHeight="1">
      <c r="D15" s="261"/>
      <c r="E15" s="246"/>
      <c r="F15" s="279"/>
      <c r="G15" s="279"/>
      <c r="H15" s="279"/>
      <c r="I15" s="279"/>
      <c r="J15" s="279"/>
      <c r="K15" s="279"/>
      <c r="L15" s="203"/>
      <c r="M15" s="93"/>
    </row>
    <row r="16" spans="1:33" ht="18.75" customHeight="1">
      <c r="D16" s="261"/>
      <c r="E16" s="246"/>
      <c r="F16" s="181" t="e">
        <f>"Дата подачи заявления об "&amp;IF(TITLE_DATE_PR_CHANGE="","утверждении","изменении")&amp;" тарифов"</f>
        <v>#REF!</v>
      </c>
      <c r="G16" s="2102" t="e">
        <f>IF(TITLE_DATE_PR_CHANGE="",IF(TITLE_DATE_PR="","",TITLE_DATE_PR),TITLE_DATE_PR_CHANGE)</f>
        <v>#REF!</v>
      </c>
      <c r="H16" s="2102"/>
      <c r="I16" s="2102"/>
      <c r="J16" s="2102"/>
      <c r="K16" s="2102"/>
      <c r="L16" s="2102"/>
      <c r="M16" s="283"/>
      <c r="N16" s="209"/>
    </row>
    <row r="17" spans="1:16" ht="18.75" customHeight="1">
      <c r="D17" s="261"/>
      <c r="E17" s="246"/>
      <c r="F17" s="181" t="e">
        <f>"Номер подачи заявления об "&amp;IF(TITLE_DATE_PR_CHANGE="","утверждении","изменении")&amp;" тарифов"</f>
        <v>#REF!</v>
      </c>
      <c r="G17" s="2103" t="e">
        <f>IF(TITLE_NUMBER_PR_CHANGE="",IF(TITLE_NUMBER_PR="","",TITLE_NUMBER_PR),TITLE_NUMBER_PR_CHANGE)</f>
        <v>#REF!</v>
      </c>
      <c r="H17" s="2103"/>
      <c r="I17" s="2103"/>
      <c r="J17" s="2103"/>
      <c r="K17" s="2103"/>
      <c r="L17" s="2103"/>
      <c r="M17" s="283"/>
      <c r="N17" s="209"/>
    </row>
    <row r="18" spans="1:16" ht="14.25" customHeight="1">
      <c r="D18" s="261"/>
      <c r="E18" s="246"/>
      <c r="F18" s="279"/>
      <c r="G18" s="279"/>
      <c r="H18" s="279"/>
      <c r="I18" s="279"/>
      <c r="J18" s="279"/>
      <c r="K18" s="279"/>
      <c r="L18" s="577"/>
      <c r="M18" s="93"/>
    </row>
    <row r="19" spans="1:16" ht="21" customHeight="1">
      <c r="D19" s="261"/>
      <c r="E19" s="2068" t="s">
        <v>224</v>
      </c>
      <c r="F19" s="2068"/>
      <c r="G19" s="2068"/>
      <c r="H19" s="2068"/>
      <c r="I19" s="2068"/>
      <c r="J19" s="2068"/>
      <c r="K19" s="2068"/>
      <c r="L19" s="2068"/>
      <c r="M19" s="2271" t="s">
        <v>225</v>
      </c>
    </row>
    <row r="20" spans="1:16" ht="21" customHeight="1">
      <c r="D20" s="261"/>
      <c r="E20" s="2128" t="s">
        <v>22</v>
      </c>
      <c r="F20" s="2074" t="s">
        <v>60</v>
      </c>
      <c r="G20" s="2074" t="s">
        <v>61</v>
      </c>
      <c r="H20" s="2232" t="s">
        <v>982</v>
      </c>
      <c r="I20" s="2236"/>
      <c r="J20" s="2233"/>
      <c r="K20" s="2074" t="s">
        <v>227</v>
      </c>
      <c r="L20" s="2074" t="s">
        <v>316</v>
      </c>
      <c r="M20" s="2271"/>
    </row>
    <row r="21" spans="1:16" ht="21" customHeight="1">
      <c r="D21" s="261"/>
      <c r="E21" s="2130"/>
      <c r="F21" s="2075"/>
      <c r="G21" s="2075"/>
      <c r="H21" s="2073" t="s">
        <v>983</v>
      </c>
      <c r="I21" s="2087"/>
      <c r="J21" s="24" t="s">
        <v>984</v>
      </c>
      <c r="K21" s="2075"/>
      <c r="L21" s="2075"/>
      <c r="M21" s="2271"/>
    </row>
    <row r="22" spans="1:16" ht="12" customHeight="1">
      <c r="D22" s="261"/>
      <c r="E22" s="158"/>
      <c r="F22" s="158"/>
      <c r="G22" s="158"/>
      <c r="H22" s="2275"/>
      <c r="I22" s="2275"/>
      <c r="J22" s="158"/>
      <c r="K22" s="158"/>
      <c r="L22" s="158"/>
      <c r="M22" s="158"/>
    </row>
    <row r="23" spans="1:16" ht="18.75" customHeight="1">
      <c r="A23" s="1512"/>
      <c r="B23" s="1512"/>
      <c r="D23" s="261"/>
      <c r="E23" s="1598" t="s">
        <v>43</v>
      </c>
      <c r="F23" s="2276" t="str">
        <f>"Предлагаемый метод регулирования"&amp;IF(TEMPLATE_SPHERE="HEAT"," в сфере "&amp;TEMPLATE_SPHERE_RUS,"")</f>
        <v>Предлагаемый метод регулирования в сфере теплоснабжения</v>
      </c>
      <c r="G23" s="2276"/>
      <c r="H23" s="2272"/>
      <c r="I23" s="2272"/>
      <c r="J23" s="2272"/>
      <c r="K23" s="2276" t="s">
        <v>230</v>
      </c>
      <c r="L23" s="2272"/>
      <c r="M23" s="1504"/>
      <c r="N23" s="217"/>
    </row>
    <row r="24" spans="1:16" ht="60.75" hidden="1" customHeight="1">
      <c r="A24" s="1512" t="s">
        <v>93</v>
      </c>
      <c r="B24" s="1512" t="s">
        <v>94</v>
      </c>
      <c r="D24" s="2274"/>
      <c r="E24" s="2062"/>
      <c r="F24" s="227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30" t="str">
        <f>INDEX(PT_DIFFERENTIATION_NTAR,MATCH(B24,PT_DIFFERENTIATION_NTAR_ID,0))</f>
        <v/>
      </c>
      <c r="H24" s="1594"/>
      <c r="I24" s="1478"/>
      <c r="J24" s="1508"/>
      <c r="K24" s="1597"/>
      <c r="L24" s="1503" t="s">
        <v>230</v>
      </c>
      <c r="M24" s="20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17"/>
    </row>
    <row r="25" spans="1:16" s="1664" customFormat="1" ht="18.75" hidden="1" customHeight="1">
      <c r="A25" s="1512"/>
      <c r="B25" s="1512"/>
      <c r="C25" s="253" t="s">
        <v>979</v>
      </c>
      <c r="D25" s="2274"/>
      <c r="E25" s="2062"/>
      <c r="F25" s="2277"/>
      <c r="G25" s="2230"/>
      <c r="H25" s="1270"/>
      <c r="I25" s="492" t="s">
        <v>980</v>
      </c>
      <c r="J25" s="429"/>
      <c r="K25" s="1270"/>
      <c r="L25" s="114"/>
      <c r="M25" s="2023"/>
      <c r="N25" s="217"/>
      <c r="O25" s="1396"/>
      <c r="P25" s="1396"/>
    </row>
    <row r="26" spans="1:16" ht="0.75" hidden="1" customHeight="1">
      <c r="A26" s="1512"/>
      <c r="B26" s="1512"/>
      <c r="C26" s="253" t="s">
        <v>985</v>
      </c>
      <c r="D26" s="2274"/>
      <c r="E26" s="2062"/>
      <c r="F26" s="2196"/>
      <c r="G26" s="285"/>
      <c r="H26" s="1270"/>
      <c r="I26" s="280"/>
      <c r="J26" s="230"/>
      <c r="K26" s="1270"/>
      <c r="L26" s="101"/>
      <c r="M26" s="2023"/>
      <c r="N26" s="217"/>
    </row>
    <row r="27" spans="1:16" s="1664" customFormat="1" ht="45" hidden="1" customHeight="1">
      <c r="A27" s="1512" t="s">
        <v>99</v>
      </c>
      <c r="B27" s="1512" t="s">
        <v>100</v>
      </c>
      <c r="C27" s="253"/>
      <c r="D27" s="2278"/>
      <c r="E27" s="2279"/>
      <c r="F27" s="228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30" t="str">
        <f>INDEX(PT_DIFFERENTIATION_NTAR,MATCH(B27,PT_DIFFERENTIATION_NTAR_ID,0))</f>
        <v/>
      </c>
      <c r="H27" s="1594"/>
      <c r="I27" s="1478"/>
      <c r="J27" s="1508"/>
      <c r="K27" s="1597"/>
      <c r="L27" s="1594" t="s">
        <v>230</v>
      </c>
      <c r="M27" s="2023"/>
      <c r="N27" s="217"/>
      <c r="O27" s="1396"/>
      <c r="P27" s="1396"/>
    </row>
    <row r="28" spans="1:16" s="1664" customFormat="1" ht="18.75" hidden="1" customHeight="1">
      <c r="A28" s="1512"/>
      <c r="B28" s="1512"/>
      <c r="C28" s="253" t="s">
        <v>979</v>
      </c>
      <c r="D28" s="2278"/>
      <c r="E28" s="2279"/>
      <c r="F28" s="2280"/>
      <c r="G28" s="2230"/>
      <c r="H28" s="1270"/>
      <c r="I28" s="492" t="s">
        <v>980</v>
      </c>
      <c r="J28" s="429"/>
      <c r="K28" s="1270"/>
      <c r="L28" s="114"/>
      <c r="M28" s="2023"/>
      <c r="N28" s="217"/>
      <c r="O28" s="1396"/>
      <c r="P28" s="1396"/>
    </row>
    <row r="29" spans="1:16" s="1664" customFormat="1" ht="0.75" hidden="1" customHeight="1">
      <c r="A29" s="1512"/>
      <c r="B29" s="1512"/>
      <c r="C29" s="253" t="s">
        <v>985</v>
      </c>
      <c r="D29" s="2278"/>
      <c r="E29" s="2062"/>
      <c r="F29" s="2196"/>
      <c r="G29" s="285"/>
      <c r="H29" s="1270"/>
      <c r="I29" s="492"/>
      <c r="J29" s="429"/>
      <c r="K29" s="1270"/>
      <c r="L29" s="114"/>
      <c r="M29" s="2023"/>
      <c r="N29" s="217"/>
      <c r="O29" s="1396"/>
      <c r="P29" s="1396"/>
    </row>
    <row r="30" spans="1:16" s="1664" customFormat="1" ht="45" hidden="1" customHeight="1">
      <c r="A30" s="1512" t="s">
        <v>105</v>
      </c>
      <c r="B30" s="1512" t="s">
        <v>106</v>
      </c>
      <c r="C30" s="253"/>
      <c r="D30" s="2278"/>
      <c r="E30" s="2062"/>
      <c r="F30" s="21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30" t="str">
        <f>INDEX(PT_DIFFERENTIATION_NTAR,MATCH(B30,PT_DIFFERENTIATION_NTAR_ID,0))</f>
        <v/>
      </c>
      <c r="H30" s="1594"/>
      <c r="I30" s="1478"/>
      <c r="J30" s="1508"/>
      <c r="K30" s="1597"/>
      <c r="L30" s="1594" t="s">
        <v>230</v>
      </c>
      <c r="M30" s="2023"/>
      <c r="N30" s="217"/>
      <c r="O30" s="1396"/>
      <c r="P30" s="1396"/>
    </row>
    <row r="31" spans="1:16" s="1664" customFormat="1" ht="18.75" hidden="1" customHeight="1">
      <c r="A31" s="1512"/>
      <c r="B31" s="1512"/>
      <c r="C31" s="253" t="s">
        <v>979</v>
      </c>
      <c r="D31" s="2278"/>
      <c r="E31" s="2062"/>
      <c r="F31" s="2196"/>
      <c r="G31" s="2230"/>
      <c r="H31" s="1270"/>
      <c r="I31" s="492" t="s">
        <v>980</v>
      </c>
      <c r="J31" s="429"/>
      <c r="K31" s="1270"/>
      <c r="L31" s="114"/>
      <c r="M31" s="2023"/>
      <c r="N31" s="217"/>
      <c r="O31" s="1396"/>
      <c r="P31" s="1396"/>
    </row>
    <row r="32" spans="1:16" s="1664" customFormat="1" ht="0.75" hidden="1" customHeight="1">
      <c r="A32" s="1512"/>
      <c r="B32" s="1512"/>
      <c r="C32" s="253" t="s">
        <v>985</v>
      </c>
      <c r="D32" s="2278"/>
      <c r="E32" s="2062"/>
      <c r="F32" s="2196"/>
      <c r="G32" s="285"/>
      <c r="H32" s="1270"/>
      <c r="I32" s="492"/>
      <c r="J32" s="429"/>
      <c r="K32" s="1270"/>
      <c r="L32" s="114"/>
      <c r="M32" s="2023"/>
      <c r="N32" s="217"/>
      <c r="O32" s="1396"/>
      <c r="P32" s="1396"/>
    </row>
    <row r="33" spans="1:16" s="1664" customFormat="1" ht="45" hidden="1" customHeight="1">
      <c r="A33" s="1512" t="s">
        <v>111</v>
      </c>
      <c r="B33" s="1512" t="s">
        <v>112</v>
      </c>
      <c r="C33" s="253"/>
      <c r="D33" s="2278"/>
      <c r="E33" s="2062"/>
      <c r="F33" s="21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30" t="str">
        <f>INDEX(PT_DIFFERENTIATION_NTAR,MATCH(B33,PT_DIFFERENTIATION_NTAR_ID,0))</f>
        <v/>
      </c>
      <c r="H33" s="1594"/>
      <c r="I33" s="1478"/>
      <c r="J33" s="1508"/>
      <c r="K33" s="1597"/>
      <c r="L33" s="1594" t="s">
        <v>230</v>
      </c>
      <c r="M33" s="2023"/>
      <c r="N33" s="217"/>
      <c r="O33" s="1396"/>
      <c r="P33" s="1396"/>
    </row>
    <row r="34" spans="1:16" s="1664" customFormat="1" ht="18.75" hidden="1" customHeight="1">
      <c r="A34" s="1512"/>
      <c r="B34" s="1512"/>
      <c r="C34" s="253" t="s">
        <v>979</v>
      </c>
      <c r="D34" s="2278"/>
      <c r="E34" s="2062"/>
      <c r="F34" s="2196"/>
      <c r="G34" s="2230"/>
      <c r="H34" s="1270"/>
      <c r="I34" s="492" t="s">
        <v>980</v>
      </c>
      <c r="J34" s="429"/>
      <c r="K34" s="1270"/>
      <c r="L34" s="114"/>
      <c r="M34" s="2023"/>
      <c r="N34" s="217"/>
      <c r="O34" s="1396"/>
      <c r="P34" s="1396"/>
    </row>
    <row r="35" spans="1:16" s="1664" customFormat="1" ht="0.75" hidden="1" customHeight="1">
      <c r="A35" s="1512"/>
      <c r="B35" s="1512"/>
      <c r="C35" s="253" t="s">
        <v>985</v>
      </c>
      <c r="D35" s="2278"/>
      <c r="E35" s="2062"/>
      <c r="F35" s="2196"/>
      <c r="G35" s="285"/>
      <c r="H35" s="1270"/>
      <c r="I35" s="492"/>
      <c r="J35" s="429"/>
      <c r="K35" s="1270"/>
      <c r="L35" s="114"/>
      <c r="M35" s="2023"/>
      <c r="N35" s="217"/>
      <c r="O35" s="1396"/>
      <c r="P35" s="1396"/>
    </row>
    <row r="36" spans="1:16" s="1664" customFormat="1" ht="18.75" hidden="1" customHeight="1">
      <c r="A36" s="1512" t="s">
        <v>117</v>
      </c>
      <c r="B36" s="1512" t="s">
        <v>118</v>
      </c>
      <c r="C36" s="253"/>
      <c r="D36" s="2278"/>
      <c r="E36" s="2062"/>
      <c r="F36" s="2196" t="str">
        <f>INDEX(PT_DIFFERENTIATION_VTAR,MATCH(A36,PT_DIFFERENTIATION_VTAR_ID,0))</f>
        <v>Тарифы на услуги по передаче тепловой энергии</v>
      </c>
      <c r="G36" s="2230" t="str">
        <f>INDEX(PT_DIFFERENTIATION_NTAR,MATCH(B36,PT_DIFFERENTIATION_NTAR_ID,0))</f>
        <v/>
      </c>
      <c r="H36" s="1594"/>
      <c r="I36" s="1478"/>
      <c r="J36" s="1508"/>
      <c r="K36" s="1597"/>
      <c r="L36" s="1594" t="s">
        <v>230</v>
      </c>
      <c r="M36" s="2023"/>
      <c r="N36" s="217"/>
      <c r="O36" s="1396"/>
      <c r="P36" s="1396"/>
    </row>
    <row r="37" spans="1:16" s="1664" customFormat="1" ht="18.75" hidden="1" customHeight="1">
      <c r="A37" s="1512"/>
      <c r="B37" s="1512"/>
      <c r="C37" s="253" t="s">
        <v>979</v>
      </c>
      <c r="D37" s="2278"/>
      <c r="E37" s="2062"/>
      <c r="F37" s="2196"/>
      <c r="G37" s="2230"/>
      <c r="H37" s="1270"/>
      <c r="I37" s="492" t="s">
        <v>980</v>
      </c>
      <c r="J37" s="429"/>
      <c r="K37" s="1270"/>
      <c r="L37" s="114"/>
      <c r="M37" s="2023"/>
      <c r="N37" s="217"/>
      <c r="O37" s="1396"/>
      <c r="P37" s="1396"/>
    </row>
    <row r="38" spans="1:16" s="1664" customFormat="1" ht="0.75" hidden="1" customHeight="1">
      <c r="A38" s="1512"/>
      <c r="B38" s="1512"/>
      <c r="C38" s="253" t="s">
        <v>985</v>
      </c>
      <c r="D38" s="2278"/>
      <c r="E38" s="2062"/>
      <c r="F38" s="2196"/>
      <c r="G38" s="285"/>
      <c r="H38" s="1270"/>
      <c r="I38" s="492"/>
      <c r="J38" s="429"/>
      <c r="K38" s="1270"/>
      <c r="L38" s="114"/>
      <c r="M38" s="2023"/>
      <c r="N38" s="217"/>
      <c r="O38" s="1396"/>
      <c r="P38" s="1396"/>
    </row>
    <row r="39" spans="1:16" s="1664" customFormat="1" ht="18.75" hidden="1" customHeight="1">
      <c r="A39" s="1512" t="s">
        <v>123</v>
      </c>
      <c r="B39" s="1512" t="s">
        <v>124</v>
      </c>
      <c r="C39" s="253"/>
      <c r="D39" s="2278"/>
      <c r="E39" s="2062"/>
      <c r="F39" s="2196" t="str">
        <f>INDEX(PT_DIFFERENTIATION_VTAR,MATCH(A39,PT_DIFFERENTIATION_VTAR_ID,0))</f>
        <v>Тарифы на услуги по передаче теплоносителя</v>
      </c>
      <c r="G39" s="2230" t="str">
        <f>INDEX(PT_DIFFERENTIATION_NTAR,MATCH(B39,PT_DIFFERENTIATION_NTAR_ID,0))</f>
        <v/>
      </c>
      <c r="H39" s="1594"/>
      <c r="I39" s="1478"/>
      <c r="J39" s="1508"/>
      <c r="K39" s="1597"/>
      <c r="L39" s="1594" t="s">
        <v>230</v>
      </c>
      <c r="M39" s="2023"/>
      <c r="N39" s="217"/>
      <c r="O39" s="1396"/>
      <c r="P39" s="1396"/>
    </row>
    <row r="40" spans="1:16" s="1664" customFormat="1" ht="18.75" hidden="1" customHeight="1">
      <c r="A40" s="1512"/>
      <c r="B40" s="1512"/>
      <c r="C40" s="253" t="s">
        <v>979</v>
      </c>
      <c r="D40" s="2278"/>
      <c r="E40" s="2062"/>
      <c r="F40" s="2196"/>
      <c r="G40" s="2230"/>
      <c r="H40" s="1270"/>
      <c r="I40" s="492" t="s">
        <v>980</v>
      </c>
      <c r="J40" s="429"/>
      <c r="K40" s="1270"/>
      <c r="L40" s="114"/>
      <c r="M40" s="2023"/>
      <c r="N40" s="217"/>
      <c r="O40" s="1396"/>
      <c r="P40" s="1396"/>
    </row>
    <row r="41" spans="1:16" s="1664" customFormat="1" ht="0.75" hidden="1" customHeight="1">
      <c r="A41" s="1512"/>
      <c r="B41" s="1512"/>
      <c r="C41" s="253" t="s">
        <v>985</v>
      </c>
      <c r="D41" s="2278"/>
      <c r="E41" s="2062"/>
      <c r="F41" s="2196"/>
      <c r="G41" s="285"/>
      <c r="H41" s="1270"/>
      <c r="I41" s="492"/>
      <c r="J41" s="429"/>
      <c r="K41" s="1270"/>
      <c r="L41" s="114"/>
      <c r="M41" s="2023"/>
      <c r="N41" s="217"/>
      <c r="O41" s="1396"/>
      <c r="P41" s="1396"/>
    </row>
    <row r="42" spans="1:16" s="1664" customFormat="1" ht="18.75" hidden="1" customHeight="1">
      <c r="A42" s="1512" t="s">
        <v>129</v>
      </c>
      <c r="B42" s="1512" t="s">
        <v>130</v>
      </c>
      <c r="C42" s="253"/>
      <c r="D42" s="2278"/>
      <c r="E42" s="2062"/>
      <c r="F42" s="21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230" t="str">
        <f>INDEX(PT_DIFFERENTIATION_NTAR,MATCH(B42,PT_DIFFERENTIATION_NTAR_ID,0))</f>
        <v/>
      </c>
      <c r="H42" s="1594"/>
      <c r="I42" s="1478"/>
      <c r="J42" s="1508"/>
      <c r="K42" s="1597"/>
      <c r="L42" s="1594" t="s">
        <v>230</v>
      </c>
      <c r="M42" s="2023"/>
      <c r="N42" s="217"/>
      <c r="O42" s="1396"/>
      <c r="P42" s="1396"/>
    </row>
    <row r="43" spans="1:16" s="1664" customFormat="1" ht="18.75" hidden="1" customHeight="1">
      <c r="A43" s="1512"/>
      <c r="B43" s="1512"/>
      <c r="C43" s="253" t="s">
        <v>979</v>
      </c>
      <c r="D43" s="2278"/>
      <c r="E43" s="2062"/>
      <c r="F43" s="2196"/>
      <c r="G43" s="2230"/>
      <c r="H43" s="1270"/>
      <c r="I43" s="492" t="s">
        <v>980</v>
      </c>
      <c r="J43" s="429"/>
      <c r="K43" s="1270"/>
      <c r="L43" s="114"/>
      <c r="M43" s="2023"/>
      <c r="N43" s="217"/>
      <c r="O43" s="1396"/>
      <c r="P43" s="1396"/>
    </row>
    <row r="44" spans="1:16" s="1664" customFormat="1" ht="0.75" hidden="1" customHeight="1">
      <c r="A44" s="1512"/>
      <c r="B44" s="1512"/>
      <c r="C44" s="253" t="s">
        <v>985</v>
      </c>
      <c r="D44" s="2278"/>
      <c r="E44" s="2062"/>
      <c r="F44" s="2196"/>
      <c r="G44" s="285"/>
      <c r="H44" s="1270"/>
      <c r="I44" s="492"/>
      <c r="J44" s="429"/>
      <c r="K44" s="1270"/>
      <c r="L44" s="114"/>
      <c r="M44" s="2023"/>
      <c r="N44" s="217"/>
      <c r="O44" s="1396"/>
      <c r="P44" s="1396"/>
    </row>
    <row r="45" spans="1:16" s="1664" customFormat="1" ht="18.75" hidden="1" customHeight="1">
      <c r="A45" s="1512" t="s">
        <v>135</v>
      </c>
      <c r="B45" s="1512" t="s">
        <v>136</v>
      </c>
      <c r="C45" s="253"/>
      <c r="D45" s="2278"/>
      <c r="E45" s="2062"/>
      <c r="F45" s="2196" t="str">
        <f>INDEX(PT_DIFFERENTIATION_VTAR,MATCH(A45,PT_DIFFERENTIATION_VTAR_ID,0))</f>
        <v>Плата за подключение (технологическое присоединение) к системе теплоснабжения</v>
      </c>
      <c r="G45" s="2230" t="str">
        <f>INDEX(PT_DIFFERENTIATION_NTAR,MATCH(B45,PT_DIFFERENTIATION_NTAR_ID,0))</f>
        <v/>
      </c>
      <c r="H45" s="1594"/>
      <c r="I45" s="1478"/>
      <c r="J45" s="1508"/>
      <c r="K45" s="1597"/>
      <c r="L45" s="1594" t="s">
        <v>230</v>
      </c>
      <c r="M45" s="2023"/>
      <c r="N45" s="217"/>
      <c r="O45" s="1396"/>
      <c r="P45" s="1396"/>
    </row>
    <row r="46" spans="1:16" s="1664" customFormat="1" ht="18.75" hidden="1" customHeight="1">
      <c r="A46" s="1512"/>
      <c r="B46" s="1512"/>
      <c r="C46" s="253" t="s">
        <v>979</v>
      </c>
      <c r="D46" s="2278"/>
      <c r="E46" s="2062"/>
      <c r="F46" s="2196"/>
      <c r="G46" s="2230"/>
      <c r="H46" s="1270"/>
      <c r="I46" s="492" t="s">
        <v>980</v>
      </c>
      <c r="J46" s="429"/>
      <c r="K46" s="1270"/>
      <c r="L46" s="114"/>
      <c r="M46" s="2023"/>
      <c r="N46" s="217"/>
      <c r="O46" s="1396"/>
      <c r="P46" s="1396"/>
    </row>
    <row r="47" spans="1:16" s="1664" customFormat="1" ht="0.75" hidden="1" customHeight="1">
      <c r="A47" s="1512"/>
      <c r="B47" s="1512"/>
      <c r="C47" s="253" t="s">
        <v>985</v>
      </c>
      <c r="D47" s="2278"/>
      <c r="E47" s="2062"/>
      <c r="F47" s="2196"/>
      <c r="G47" s="285"/>
      <c r="H47" s="1270"/>
      <c r="I47" s="492"/>
      <c r="J47" s="429"/>
      <c r="K47" s="1270"/>
      <c r="L47" s="114"/>
      <c r="M47" s="2023"/>
      <c r="N47" s="217"/>
      <c r="O47" s="1396"/>
      <c r="P47" s="1396"/>
    </row>
    <row r="48" spans="1:16" s="1664" customFormat="1" ht="18.75" hidden="1" customHeight="1">
      <c r="A48" s="1512" t="s">
        <v>149</v>
      </c>
      <c r="B48" s="1512" t="s">
        <v>150</v>
      </c>
      <c r="C48" s="253"/>
      <c r="D48" s="2278"/>
      <c r="E48" s="2062"/>
      <c r="F48" s="2196" t="str">
        <f>INDEX(PT_DIFFERENTIATION_VTAR,MATCH(A48,PT_DIFFERENTIATION_VTAR_ID,0))</f>
        <v>Тариф на питьевую воду (питьевое водоснабжение)</v>
      </c>
      <c r="G48" s="2230" t="str">
        <f>INDEX(PT_DIFFERENTIATION_NTAR,MATCH(B48,PT_DIFFERENTIATION_NTAR_ID,0))</f>
        <v/>
      </c>
      <c r="H48" s="1594"/>
      <c r="I48" s="1478"/>
      <c r="J48" s="1508"/>
      <c r="K48" s="1597"/>
      <c r="L48" s="1594" t="s">
        <v>230</v>
      </c>
      <c r="M48" s="2023"/>
      <c r="N48" s="217"/>
      <c r="O48" s="1396"/>
      <c r="P48" s="1396"/>
    </row>
    <row r="49" spans="1:16" s="1664" customFormat="1" ht="18.75" hidden="1" customHeight="1">
      <c r="A49" s="1512"/>
      <c r="B49" s="1512"/>
      <c r="C49" s="253" t="s">
        <v>979</v>
      </c>
      <c r="D49" s="2278"/>
      <c r="E49" s="2062"/>
      <c r="F49" s="2196"/>
      <c r="G49" s="2230"/>
      <c r="H49" s="1270"/>
      <c r="I49" s="492" t="s">
        <v>980</v>
      </c>
      <c r="J49" s="429"/>
      <c r="K49" s="1270"/>
      <c r="L49" s="114"/>
      <c r="M49" s="2023"/>
      <c r="N49" s="217"/>
      <c r="O49" s="1396"/>
      <c r="P49" s="1396"/>
    </row>
    <row r="50" spans="1:16" s="1664" customFormat="1" ht="0.75" hidden="1" customHeight="1">
      <c r="A50" s="1512"/>
      <c r="B50" s="1512"/>
      <c r="C50" s="253" t="s">
        <v>985</v>
      </c>
      <c r="D50" s="2278"/>
      <c r="E50" s="2062"/>
      <c r="F50" s="2196"/>
      <c r="G50" s="285"/>
      <c r="H50" s="1270"/>
      <c r="I50" s="492"/>
      <c r="J50" s="429"/>
      <c r="K50" s="1270"/>
      <c r="L50" s="114"/>
      <c r="M50" s="2023"/>
      <c r="N50" s="217"/>
      <c r="O50" s="1396"/>
      <c r="P50" s="1396"/>
    </row>
    <row r="51" spans="1:16" s="1664" customFormat="1" ht="18.75" hidden="1" customHeight="1">
      <c r="A51" s="1512" t="s">
        <v>154</v>
      </c>
      <c r="B51" s="1512" t="s">
        <v>155</v>
      </c>
      <c r="C51" s="253"/>
      <c r="D51" s="2278"/>
      <c r="E51" s="2062"/>
      <c r="F51" s="2196" t="str">
        <f>INDEX(PT_DIFFERENTIATION_VTAR,MATCH(A51,PT_DIFFERENTIATION_VTAR_ID,0))</f>
        <v>Тариф на техническую воду</v>
      </c>
      <c r="G51" s="2230" t="str">
        <f>INDEX(PT_DIFFERENTIATION_NTAR,MATCH(B51,PT_DIFFERENTIATION_NTAR_ID,0))</f>
        <v/>
      </c>
      <c r="H51" s="1594"/>
      <c r="I51" s="1478"/>
      <c r="J51" s="1508"/>
      <c r="K51" s="1597"/>
      <c r="L51" s="1594" t="s">
        <v>230</v>
      </c>
      <c r="M51" s="2023"/>
      <c r="N51" s="217"/>
      <c r="O51" s="1396"/>
      <c r="P51" s="1396"/>
    </row>
    <row r="52" spans="1:16" s="1664" customFormat="1" ht="18.75" hidden="1" customHeight="1">
      <c r="A52" s="1512"/>
      <c r="B52" s="1512"/>
      <c r="C52" s="253" t="s">
        <v>979</v>
      </c>
      <c r="D52" s="2278"/>
      <c r="E52" s="2062"/>
      <c r="F52" s="2196"/>
      <c r="G52" s="2230"/>
      <c r="H52" s="1270"/>
      <c r="I52" s="492" t="s">
        <v>980</v>
      </c>
      <c r="J52" s="429"/>
      <c r="K52" s="1270"/>
      <c r="L52" s="114"/>
      <c r="M52" s="2023"/>
      <c r="N52" s="217"/>
      <c r="O52" s="1396"/>
      <c r="P52" s="1396"/>
    </row>
    <row r="53" spans="1:16" s="1664" customFormat="1" ht="0.75" hidden="1" customHeight="1">
      <c r="A53" s="1512"/>
      <c r="B53" s="1512"/>
      <c r="C53" s="253" t="s">
        <v>985</v>
      </c>
      <c r="D53" s="2278"/>
      <c r="E53" s="2062"/>
      <c r="F53" s="2196"/>
      <c r="G53" s="285"/>
      <c r="H53" s="1270"/>
      <c r="I53" s="492"/>
      <c r="J53" s="429"/>
      <c r="K53" s="1270"/>
      <c r="L53" s="114"/>
      <c r="M53" s="2023"/>
      <c r="N53" s="217"/>
      <c r="O53" s="1396"/>
      <c r="P53" s="1396"/>
    </row>
    <row r="54" spans="1:16" s="1664" customFormat="1" ht="18.75" hidden="1" customHeight="1">
      <c r="A54" s="1512" t="s">
        <v>159</v>
      </c>
      <c r="B54" s="1512" t="s">
        <v>160</v>
      </c>
      <c r="C54" s="253"/>
      <c r="D54" s="2278"/>
      <c r="E54" s="2062"/>
      <c r="F54" s="2196" t="str">
        <f>INDEX(PT_DIFFERENTIATION_VTAR,MATCH(A54,PT_DIFFERENTIATION_VTAR_ID,0))</f>
        <v>Тариф на транспортировку воды</v>
      </c>
      <c r="G54" s="2230" t="str">
        <f>INDEX(PT_DIFFERENTIATION_NTAR,MATCH(B54,PT_DIFFERENTIATION_NTAR_ID,0))</f>
        <v/>
      </c>
      <c r="H54" s="1594"/>
      <c r="I54" s="1478"/>
      <c r="J54" s="1508"/>
      <c r="K54" s="1597"/>
      <c r="L54" s="1594" t="s">
        <v>230</v>
      </c>
      <c r="M54" s="2023"/>
      <c r="N54" s="217"/>
      <c r="O54" s="1396"/>
      <c r="P54" s="1396"/>
    </row>
    <row r="55" spans="1:16" s="1664" customFormat="1" ht="18.75" hidden="1" customHeight="1">
      <c r="A55" s="1512"/>
      <c r="B55" s="1512"/>
      <c r="C55" s="253" t="s">
        <v>979</v>
      </c>
      <c r="D55" s="2278"/>
      <c r="E55" s="2062"/>
      <c r="F55" s="2196"/>
      <c r="G55" s="2230"/>
      <c r="H55" s="1270"/>
      <c r="I55" s="492" t="s">
        <v>980</v>
      </c>
      <c r="J55" s="429"/>
      <c r="K55" s="1270"/>
      <c r="L55" s="114"/>
      <c r="M55" s="2023"/>
      <c r="N55" s="217"/>
      <c r="O55" s="1396"/>
      <c r="P55" s="1396"/>
    </row>
    <row r="56" spans="1:16" s="1664" customFormat="1" ht="0.75" hidden="1" customHeight="1">
      <c r="A56" s="1512"/>
      <c r="B56" s="1512"/>
      <c r="C56" s="253" t="s">
        <v>985</v>
      </c>
      <c r="D56" s="2278"/>
      <c r="E56" s="2062"/>
      <c r="F56" s="2196"/>
      <c r="G56" s="285"/>
      <c r="H56" s="1270"/>
      <c r="I56" s="492"/>
      <c r="J56" s="429"/>
      <c r="K56" s="1270"/>
      <c r="L56" s="114"/>
      <c r="M56" s="2023"/>
      <c r="N56" s="217"/>
      <c r="O56" s="1396"/>
      <c r="P56" s="1396"/>
    </row>
    <row r="57" spans="1:16" s="1664" customFormat="1" ht="18.75" hidden="1" customHeight="1">
      <c r="A57" s="1512" t="s">
        <v>164</v>
      </c>
      <c r="B57" s="1512" t="s">
        <v>165</v>
      </c>
      <c r="C57" s="253"/>
      <c r="D57" s="2278"/>
      <c r="E57" s="2062"/>
      <c r="F57" s="2196" t="str">
        <f>INDEX(PT_DIFFERENTIATION_VTAR,MATCH(A57,PT_DIFFERENTIATION_VTAR_ID,0))</f>
        <v>Тариф на подвоз воды</v>
      </c>
      <c r="G57" s="2230" t="str">
        <f>INDEX(PT_DIFFERENTIATION_NTAR,MATCH(B57,PT_DIFFERENTIATION_NTAR_ID,0))</f>
        <v/>
      </c>
      <c r="H57" s="1594"/>
      <c r="I57" s="1478"/>
      <c r="J57" s="1508"/>
      <c r="K57" s="1597"/>
      <c r="L57" s="1594" t="s">
        <v>230</v>
      </c>
      <c r="M57" s="2023"/>
      <c r="N57" s="217"/>
      <c r="O57" s="1396"/>
      <c r="P57" s="1396"/>
    </row>
    <row r="58" spans="1:16" s="1664" customFormat="1" ht="18.75" hidden="1" customHeight="1">
      <c r="A58" s="1512"/>
      <c r="B58" s="1512"/>
      <c r="C58" s="253" t="s">
        <v>979</v>
      </c>
      <c r="D58" s="2278"/>
      <c r="E58" s="2062"/>
      <c r="F58" s="2196"/>
      <c r="G58" s="2230"/>
      <c r="H58" s="1270"/>
      <c r="I58" s="492" t="s">
        <v>980</v>
      </c>
      <c r="J58" s="429"/>
      <c r="K58" s="1270"/>
      <c r="L58" s="114"/>
      <c r="M58" s="2023"/>
      <c r="N58" s="217"/>
      <c r="O58" s="1396"/>
      <c r="P58" s="1396"/>
    </row>
    <row r="59" spans="1:16" s="1664" customFormat="1" ht="0.75" hidden="1" customHeight="1">
      <c r="A59" s="1512"/>
      <c r="B59" s="1512"/>
      <c r="C59" s="253" t="s">
        <v>985</v>
      </c>
      <c r="D59" s="2278"/>
      <c r="E59" s="2062"/>
      <c r="F59" s="2196"/>
      <c r="G59" s="285"/>
      <c r="H59" s="1270"/>
      <c r="I59" s="492"/>
      <c r="J59" s="429"/>
      <c r="K59" s="1270"/>
      <c r="L59" s="114"/>
      <c r="M59" s="2023"/>
      <c r="N59" s="217"/>
      <c r="O59" s="1396"/>
      <c r="P59" s="1396"/>
    </row>
    <row r="60" spans="1:16" s="1664" customFormat="1" ht="18.75" hidden="1" customHeight="1">
      <c r="A60" s="1512" t="s">
        <v>169</v>
      </c>
      <c r="B60" s="1512" t="s">
        <v>170</v>
      </c>
      <c r="C60" s="253"/>
      <c r="D60" s="2278"/>
      <c r="E60" s="2062"/>
      <c r="F60" s="219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30" t="str">
        <f>INDEX(PT_DIFFERENTIATION_NTAR,MATCH(B60,PT_DIFFERENTIATION_NTAR_ID,0))</f>
        <v/>
      </c>
      <c r="H60" s="1594"/>
      <c r="I60" s="1478"/>
      <c r="J60" s="1508"/>
      <c r="K60" s="1597"/>
      <c r="L60" s="1594" t="s">
        <v>230</v>
      </c>
      <c r="M60" s="2023"/>
      <c r="N60" s="217"/>
      <c r="O60" s="1396"/>
      <c r="P60" s="1396"/>
    </row>
    <row r="61" spans="1:16" s="1664" customFormat="1" ht="18.75" hidden="1" customHeight="1">
      <c r="A61" s="1512"/>
      <c r="B61" s="1512"/>
      <c r="C61" s="253" t="s">
        <v>979</v>
      </c>
      <c r="D61" s="2278"/>
      <c r="E61" s="2062"/>
      <c r="F61" s="2196"/>
      <c r="G61" s="2230"/>
      <c r="H61" s="1270"/>
      <c r="I61" s="492" t="s">
        <v>980</v>
      </c>
      <c r="J61" s="429"/>
      <c r="K61" s="1270"/>
      <c r="L61" s="114"/>
      <c r="M61" s="2023"/>
      <c r="N61" s="217"/>
      <c r="O61" s="1396"/>
      <c r="P61" s="1396"/>
    </row>
    <row r="62" spans="1:16" s="1664" customFormat="1" ht="0.75" hidden="1" customHeight="1">
      <c r="A62" s="1512"/>
      <c r="B62" s="1512"/>
      <c r="C62" s="253" t="s">
        <v>985</v>
      </c>
      <c r="D62" s="2278"/>
      <c r="E62" s="2062"/>
      <c r="F62" s="2196"/>
      <c r="G62" s="285"/>
      <c r="H62" s="1270"/>
      <c r="I62" s="492"/>
      <c r="J62" s="429"/>
      <c r="K62" s="1270"/>
      <c r="L62" s="114"/>
      <c r="M62" s="2023"/>
      <c r="N62" s="217"/>
      <c r="O62" s="1396"/>
      <c r="P62" s="1396"/>
    </row>
    <row r="63" spans="1:16" s="1664" customFormat="1" ht="18.75" hidden="1" customHeight="1">
      <c r="A63" s="1512" t="s">
        <v>174</v>
      </c>
      <c r="B63" s="1512" t="s">
        <v>175</v>
      </c>
      <c r="C63" s="253"/>
      <c r="D63" s="2278"/>
      <c r="E63" s="2062"/>
      <c r="F63" s="2196" t="str">
        <f>INDEX(PT_DIFFERENTIATION_VTAR,MATCH(A63,PT_DIFFERENTIATION_VTAR_ID,0))</f>
        <v>Тариф на горячую воду (горячее водоснабжение)</v>
      </c>
      <c r="G63" s="2230" t="str">
        <f>INDEX(PT_DIFFERENTIATION_NTAR,MATCH(B63,PT_DIFFERENTIATION_NTAR_ID,0))</f>
        <v/>
      </c>
      <c r="H63" s="1594"/>
      <c r="I63" s="1478"/>
      <c r="J63" s="1508"/>
      <c r="K63" s="1597"/>
      <c r="L63" s="1594" t="s">
        <v>230</v>
      </c>
      <c r="M63" s="2023"/>
      <c r="N63" s="217"/>
      <c r="O63" s="1396"/>
      <c r="P63" s="1396"/>
    </row>
    <row r="64" spans="1:16" s="1664" customFormat="1" ht="18.75" hidden="1" customHeight="1">
      <c r="A64" s="1512"/>
      <c r="B64" s="1512"/>
      <c r="C64" s="253" t="s">
        <v>979</v>
      </c>
      <c r="D64" s="2278"/>
      <c r="E64" s="2062"/>
      <c r="F64" s="2196"/>
      <c r="G64" s="2230"/>
      <c r="H64" s="1270"/>
      <c r="I64" s="492" t="s">
        <v>980</v>
      </c>
      <c r="J64" s="429"/>
      <c r="K64" s="1270"/>
      <c r="L64" s="114"/>
      <c r="M64" s="2023"/>
      <c r="N64" s="217"/>
      <c r="O64" s="1396"/>
      <c r="P64" s="1396"/>
    </row>
    <row r="65" spans="1:16" s="1664" customFormat="1" ht="0.75" hidden="1" customHeight="1">
      <c r="A65" s="1512"/>
      <c r="B65" s="1512"/>
      <c r="C65" s="253" t="s">
        <v>985</v>
      </c>
      <c r="D65" s="2278"/>
      <c r="E65" s="2062"/>
      <c r="F65" s="2196"/>
      <c r="G65" s="285"/>
      <c r="H65" s="1270"/>
      <c r="I65" s="492"/>
      <c r="J65" s="429"/>
      <c r="K65" s="1270"/>
      <c r="L65" s="114"/>
      <c r="M65" s="2023"/>
      <c r="N65" s="217"/>
      <c r="O65" s="1396"/>
      <c r="P65" s="1396"/>
    </row>
    <row r="66" spans="1:16" s="1664" customFormat="1" ht="18.75" hidden="1" customHeight="1">
      <c r="A66" s="1512" t="s">
        <v>179</v>
      </c>
      <c r="B66" s="1512" t="s">
        <v>180</v>
      </c>
      <c r="C66" s="253"/>
      <c r="D66" s="2278"/>
      <c r="E66" s="2062"/>
      <c r="F66" s="2196" t="str">
        <f>INDEX(PT_DIFFERENTIATION_VTAR,MATCH(A66,PT_DIFFERENTIATION_VTAR_ID,0))</f>
        <v>Тариф на транспортировку горячей воды</v>
      </c>
      <c r="G66" s="2230" t="str">
        <f>INDEX(PT_DIFFERENTIATION_NTAR,MATCH(B66,PT_DIFFERENTIATION_NTAR_ID,0))</f>
        <v/>
      </c>
      <c r="H66" s="1594"/>
      <c r="I66" s="1478"/>
      <c r="J66" s="1508"/>
      <c r="K66" s="1597"/>
      <c r="L66" s="1594" t="s">
        <v>230</v>
      </c>
      <c r="M66" s="2023"/>
      <c r="N66" s="217"/>
      <c r="O66" s="1396"/>
      <c r="P66" s="1396"/>
    </row>
    <row r="67" spans="1:16" s="1664" customFormat="1" ht="18.75" hidden="1" customHeight="1">
      <c r="A67" s="1512"/>
      <c r="B67" s="1512"/>
      <c r="C67" s="253" t="s">
        <v>979</v>
      </c>
      <c r="D67" s="2278"/>
      <c r="E67" s="2062"/>
      <c r="F67" s="2196"/>
      <c r="G67" s="2230"/>
      <c r="H67" s="1270"/>
      <c r="I67" s="492" t="s">
        <v>980</v>
      </c>
      <c r="J67" s="429"/>
      <c r="K67" s="1270"/>
      <c r="L67" s="114"/>
      <c r="M67" s="2023"/>
      <c r="N67" s="217"/>
      <c r="O67" s="1396"/>
      <c r="P67" s="1396"/>
    </row>
    <row r="68" spans="1:16" s="1664" customFormat="1" ht="0.75" hidden="1" customHeight="1">
      <c r="A68" s="1512"/>
      <c r="B68" s="1512"/>
      <c r="C68" s="253" t="s">
        <v>985</v>
      </c>
      <c r="D68" s="2278"/>
      <c r="E68" s="2062"/>
      <c r="F68" s="2196"/>
      <c r="G68" s="285"/>
      <c r="H68" s="1270"/>
      <c r="I68" s="492"/>
      <c r="J68" s="429"/>
      <c r="K68" s="1270"/>
      <c r="L68" s="114"/>
      <c r="M68" s="2023"/>
      <c r="N68" s="217"/>
      <c r="O68" s="1396"/>
      <c r="P68" s="1396"/>
    </row>
    <row r="69" spans="1:16" s="1664" customFormat="1" ht="18.75" hidden="1" customHeight="1">
      <c r="A69" s="1512" t="s">
        <v>184</v>
      </c>
      <c r="B69" s="1512" t="s">
        <v>185</v>
      </c>
      <c r="C69" s="253"/>
      <c r="D69" s="2278"/>
      <c r="E69" s="2062"/>
      <c r="F69" s="2196" t="str">
        <f>INDEX(PT_DIFFERENTIATION_VTAR,MATCH(A69,PT_DIFFERENTIATION_VTAR_ID,0))</f>
        <v>Тариф на подключение (технологическое присоединение) к централизованной системе горячего водоснабжения</v>
      </c>
      <c r="G69" s="2230" t="str">
        <f>INDEX(PT_DIFFERENTIATION_NTAR,MATCH(B69,PT_DIFFERENTIATION_NTAR_ID,0))</f>
        <v/>
      </c>
      <c r="H69" s="1594"/>
      <c r="I69" s="1478"/>
      <c r="J69" s="1508"/>
      <c r="K69" s="1597"/>
      <c r="L69" s="1594" t="s">
        <v>230</v>
      </c>
      <c r="M69" s="2023"/>
      <c r="N69" s="217"/>
      <c r="O69" s="1396"/>
      <c r="P69" s="1396"/>
    </row>
    <row r="70" spans="1:16" s="1664" customFormat="1" ht="18.75" hidden="1" customHeight="1">
      <c r="A70" s="1512"/>
      <c r="B70" s="1512"/>
      <c r="C70" s="253" t="s">
        <v>979</v>
      </c>
      <c r="D70" s="2278"/>
      <c r="E70" s="2062"/>
      <c r="F70" s="2196"/>
      <c r="G70" s="2230"/>
      <c r="H70" s="1270"/>
      <c r="I70" s="492" t="s">
        <v>980</v>
      </c>
      <c r="J70" s="429"/>
      <c r="K70" s="1270"/>
      <c r="L70" s="114"/>
      <c r="M70" s="2023"/>
      <c r="N70" s="217"/>
      <c r="O70" s="1396"/>
      <c r="P70" s="1396"/>
    </row>
    <row r="71" spans="1:16" s="1664" customFormat="1" ht="0.75" hidden="1" customHeight="1">
      <c r="A71" s="1512"/>
      <c r="B71" s="1512"/>
      <c r="C71" s="253" t="s">
        <v>985</v>
      </c>
      <c r="D71" s="2278"/>
      <c r="E71" s="2062"/>
      <c r="F71" s="2196"/>
      <c r="G71" s="285"/>
      <c r="H71" s="1270"/>
      <c r="I71" s="492"/>
      <c r="J71" s="429"/>
      <c r="K71" s="1270"/>
      <c r="L71" s="114"/>
      <c r="M71" s="2023"/>
      <c r="N71" s="217"/>
      <c r="O71" s="1396"/>
      <c r="P71" s="1396"/>
    </row>
    <row r="72" spans="1:16" s="1664" customFormat="1" ht="18.75" hidden="1" customHeight="1">
      <c r="A72" s="1512" t="s">
        <v>189</v>
      </c>
      <c r="B72" s="1512" t="s">
        <v>190</v>
      </c>
      <c r="C72" s="253"/>
      <c r="D72" s="2278"/>
      <c r="E72" s="2062"/>
      <c r="F72" s="2196" t="str">
        <f>INDEX(PT_DIFFERENTIATION_VTAR,MATCH(A72,PT_DIFFERENTIATION_VTAR_ID,0))</f>
        <v>Тариф на водоотведение</v>
      </c>
      <c r="G72" s="2230" t="str">
        <f>INDEX(PT_DIFFERENTIATION_NTAR,MATCH(B72,PT_DIFFERENTIATION_NTAR_ID,0))</f>
        <v/>
      </c>
      <c r="H72" s="1594"/>
      <c r="I72" s="1478"/>
      <c r="J72" s="1508"/>
      <c r="K72" s="1597"/>
      <c r="L72" s="1594" t="s">
        <v>230</v>
      </c>
      <c r="M72" s="2023"/>
      <c r="N72" s="217"/>
      <c r="O72" s="1396"/>
      <c r="P72" s="1396"/>
    </row>
    <row r="73" spans="1:16" s="1664" customFormat="1" ht="18.75" hidden="1" customHeight="1">
      <c r="A73" s="1512"/>
      <c r="B73" s="1512"/>
      <c r="C73" s="253" t="s">
        <v>979</v>
      </c>
      <c r="D73" s="2278"/>
      <c r="E73" s="2062"/>
      <c r="F73" s="2196"/>
      <c r="G73" s="2230"/>
      <c r="H73" s="1270"/>
      <c r="I73" s="492" t="s">
        <v>980</v>
      </c>
      <c r="J73" s="429"/>
      <c r="K73" s="1270"/>
      <c r="L73" s="114"/>
      <c r="M73" s="2023"/>
      <c r="N73" s="217"/>
      <c r="O73" s="1396"/>
      <c r="P73" s="1396"/>
    </row>
    <row r="74" spans="1:16" s="1664" customFormat="1" ht="0.75" hidden="1" customHeight="1">
      <c r="A74" s="1512"/>
      <c r="B74" s="1512"/>
      <c r="C74" s="253" t="s">
        <v>985</v>
      </c>
      <c r="D74" s="2278"/>
      <c r="E74" s="2062"/>
      <c r="F74" s="2196"/>
      <c r="G74" s="285"/>
      <c r="H74" s="1270"/>
      <c r="I74" s="492"/>
      <c r="J74" s="429"/>
      <c r="K74" s="1270"/>
      <c r="L74" s="114"/>
      <c r="M74" s="2023"/>
      <c r="N74" s="217"/>
      <c r="O74" s="1396"/>
      <c r="P74" s="1396"/>
    </row>
    <row r="75" spans="1:16" s="1664" customFormat="1" ht="18.75" hidden="1" customHeight="1">
      <c r="A75" s="1512" t="s">
        <v>194</v>
      </c>
      <c r="B75" s="1512" t="s">
        <v>195</v>
      </c>
      <c r="C75" s="253"/>
      <c r="D75" s="2278"/>
      <c r="E75" s="2062"/>
      <c r="F75" s="2196" t="str">
        <f>INDEX(PT_DIFFERENTIATION_VTAR,MATCH(A75,PT_DIFFERENTIATION_VTAR_ID,0))</f>
        <v>Тариф на транспортировку сточных вод</v>
      </c>
      <c r="G75" s="2230" t="str">
        <f>INDEX(PT_DIFFERENTIATION_NTAR,MATCH(B75,PT_DIFFERENTIATION_NTAR_ID,0))</f>
        <v/>
      </c>
      <c r="H75" s="1594"/>
      <c r="I75" s="1478"/>
      <c r="J75" s="1508"/>
      <c r="K75" s="1597"/>
      <c r="L75" s="1594" t="s">
        <v>230</v>
      </c>
      <c r="M75" s="2023"/>
      <c r="N75" s="217"/>
      <c r="O75" s="1396"/>
      <c r="P75" s="1396"/>
    </row>
    <row r="76" spans="1:16" s="1664" customFormat="1" ht="18.75" hidden="1" customHeight="1">
      <c r="A76" s="1512"/>
      <c r="B76" s="1512"/>
      <c r="C76" s="253" t="s">
        <v>979</v>
      </c>
      <c r="D76" s="2278"/>
      <c r="E76" s="2062"/>
      <c r="F76" s="2196"/>
      <c r="G76" s="2230"/>
      <c r="H76" s="1270"/>
      <c r="I76" s="492" t="s">
        <v>980</v>
      </c>
      <c r="J76" s="429"/>
      <c r="K76" s="1270"/>
      <c r="L76" s="114"/>
      <c r="M76" s="2023"/>
      <c r="N76" s="217"/>
      <c r="O76" s="1396"/>
      <c r="P76" s="1396"/>
    </row>
    <row r="77" spans="1:16" s="1664" customFormat="1" ht="0.75" hidden="1" customHeight="1">
      <c r="A77" s="1512"/>
      <c r="B77" s="1512"/>
      <c r="C77" s="253" t="s">
        <v>985</v>
      </c>
      <c r="D77" s="2278"/>
      <c r="E77" s="2062"/>
      <c r="F77" s="2196"/>
      <c r="G77" s="285"/>
      <c r="H77" s="1270"/>
      <c r="I77" s="492"/>
      <c r="J77" s="429"/>
      <c r="K77" s="1270"/>
      <c r="L77" s="114"/>
      <c r="M77" s="2023"/>
      <c r="N77" s="217"/>
      <c r="O77" s="1396"/>
      <c r="P77" s="1396"/>
    </row>
    <row r="78" spans="1:16" s="1664" customFormat="1" ht="18.75" hidden="1" customHeight="1">
      <c r="A78" s="1512" t="s">
        <v>199</v>
      </c>
      <c r="B78" s="1512" t="s">
        <v>200</v>
      </c>
      <c r="C78" s="253"/>
      <c r="D78" s="2278"/>
      <c r="E78" s="2062"/>
      <c r="F78" s="2196" t="str">
        <f>INDEX(PT_DIFFERENTIATION_VTAR,MATCH(A78,PT_DIFFERENTIATION_VTAR_ID,0))</f>
        <v>Тариф на подключение (технологическое присоединение) к централизованной системе водоотведения</v>
      </c>
      <c r="G78" s="2230" t="str">
        <f>INDEX(PT_DIFFERENTIATION_NTAR,MATCH(B78,PT_DIFFERENTIATION_NTAR_ID,0))</f>
        <v/>
      </c>
      <c r="H78" s="1594"/>
      <c r="I78" s="1478"/>
      <c r="J78" s="1508"/>
      <c r="K78" s="1597"/>
      <c r="L78" s="1594" t="s">
        <v>230</v>
      </c>
      <c r="M78" s="2023"/>
      <c r="N78" s="217"/>
      <c r="O78" s="1396"/>
      <c r="P78" s="1396"/>
    </row>
    <row r="79" spans="1:16" s="1664" customFormat="1" ht="18.75" hidden="1" customHeight="1">
      <c r="A79" s="1512"/>
      <c r="B79" s="1512"/>
      <c r="C79" s="253" t="s">
        <v>979</v>
      </c>
      <c r="D79" s="2278"/>
      <c r="E79" s="2062"/>
      <c r="F79" s="2196"/>
      <c r="G79" s="2230"/>
      <c r="H79" s="1270"/>
      <c r="I79" s="492" t="s">
        <v>980</v>
      </c>
      <c r="J79" s="429"/>
      <c r="K79" s="1270"/>
      <c r="L79" s="114"/>
      <c r="M79" s="2023"/>
      <c r="N79" s="217"/>
      <c r="O79" s="1396"/>
      <c r="P79" s="1396"/>
    </row>
    <row r="80" spans="1:16" s="1664" customFormat="1" ht="0.75" customHeight="1">
      <c r="A80" s="1512"/>
      <c r="B80" s="1512"/>
      <c r="C80" s="253" t="s">
        <v>985</v>
      </c>
      <c r="D80" s="2278"/>
      <c r="E80" s="2062"/>
      <c r="F80" s="2196"/>
      <c r="G80" s="285"/>
      <c r="H80" s="1270"/>
      <c r="I80" s="492"/>
      <c r="J80" s="429"/>
      <c r="K80" s="1270"/>
      <c r="L80" s="114"/>
      <c r="M80" s="2023"/>
      <c r="N80" s="217"/>
      <c r="O80" s="1396"/>
      <c r="P80" s="1396"/>
    </row>
    <row r="81" spans="1:16" ht="18.75" customHeight="1">
      <c r="A81" s="1512"/>
      <c r="B81" s="1512"/>
      <c r="D81" s="261"/>
      <c r="E81" s="53" t="s">
        <v>44</v>
      </c>
      <c r="F81" s="227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72"/>
      <c r="H81" s="2272"/>
      <c r="I81" s="2272"/>
      <c r="J81" s="2272"/>
      <c r="K81" s="2272"/>
      <c r="L81" s="2272"/>
      <c r="M81" s="172"/>
      <c r="N81" s="217"/>
    </row>
    <row r="82" spans="1:16" ht="33.75" customHeight="1">
      <c r="A82" s="1512"/>
      <c r="B82" s="1512"/>
      <c r="D82" s="261"/>
      <c r="E82" s="284"/>
      <c r="F82" s="98" t="s">
        <v>230</v>
      </c>
      <c r="G82" s="98" t="s">
        <v>230</v>
      </c>
      <c r="H82" s="2073" t="s">
        <v>230</v>
      </c>
      <c r="I82" s="2087"/>
      <c r="J82" s="98" t="s">
        <v>230</v>
      </c>
      <c r="K82" s="98" t="s">
        <v>230</v>
      </c>
      <c r="L82" s="286"/>
      <c r="M82" s="227" t="s">
        <v>986</v>
      </c>
      <c r="N82" s="217"/>
    </row>
    <row r="83" spans="1:16" ht="18.75" customHeight="1">
      <c r="A83" s="1512"/>
      <c r="B83" s="1512"/>
      <c r="D83" s="261"/>
      <c r="E83" s="53" t="s">
        <v>24</v>
      </c>
      <c r="F83" s="2272" t="s">
        <v>987</v>
      </c>
      <c r="G83" s="2272"/>
      <c r="H83" s="2272"/>
      <c r="I83" s="2272"/>
      <c r="J83" s="2272"/>
      <c r="K83" s="2272"/>
      <c r="L83" s="2272"/>
      <c r="M83" s="172"/>
      <c r="N83" s="217"/>
    </row>
    <row r="84" spans="1:16" s="1664" customFormat="1" ht="60.75" hidden="1" customHeight="1">
      <c r="A84" s="1512" t="s">
        <v>93</v>
      </c>
      <c r="B84" s="1512" t="s">
        <v>94</v>
      </c>
      <c r="C84" s="253"/>
      <c r="D84" s="2278"/>
      <c r="E84" s="2062"/>
      <c r="F84" s="219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30" t="str">
        <f>INDEX(PT_DIFFERENTIATION_NTAR,MATCH(B84,PT_DIFFERENTIATION_NTAR_ID,0))</f>
        <v/>
      </c>
      <c r="H84" s="1594"/>
      <c r="I84" s="1478"/>
      <c r="J84" s="1508"/>
      <c r="K84" s="1510"/>
      <c r="L84" s="1594" t="s">
        <v>230</v>
      </c>
      <c r="M84" s="20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17"/>
      <c r="O84" s="1396"/>
      <c r="P84" s="1396"/>
    </row>
    <row r="85" spans="1:16" s="1664" customFormat="1" ht="18.75" hidden="1" customHeight="1">
      <c r="A85" s="1512"/>
      <c r="B85" s="1512"/>
      <c r="C85" s="253" t="s">
        <v>981</v>
      </c>
      <c r="D85" s="2278"/>
      <c r="E85" s="2062"/>
      <c r="F85" s="2196"/>
      <c r="G85" s="2230"/>
      <c r="H85" s="1270"/>
      <c r="I85" s="492" t="s">
        <v>980</v>
      </c>
      <c r="J85" s="429"/>
      <c r="K85" s="1270"/>
      <c r="L85" s="114"/>
      <c r="M85" s="2023"/>
      <c r="N85" s="217"/>
      <c r="O85" s="1396"/>
      <c r="P85" s="1396"/>
    </row>
    <row r="86" spans="1:16" s="1664" customFormat="1" ht="0.75" hidden="1" customHeight="1">
      <c r="A86" s="1512"/>
      <c r="B86" s="1512"/>
      <c r="C86" s="253" t="s">
        <v>988</v>
      </c>
      <c r="D86" s="2278"/>
      <c r="E86" s="2062"/>
      <c r="F86" s="2196"/>
      <c r="G86" s="285"/>
      <c r="H86" s="1270"/>
      <c r="I86" s="492"/>
      <c r="J86" s="429"/>
      <c r="K86" s="1270"/>
      <c r="L86" s="114"/>
      <c r="M86" s="2023"/>
      <c r="N86" s="217"/>
      <c r="O86" s="1396"/>
      <c r="P86" s="1396"/>
    </row>
    <row r="87" spans="1:16" s="1664" customFormat="1" ht="45" hidden="1" customHeight="1">
      <c r="A87" s="1512" t="s">
        <v>99</v>
      </c>
      <c r="B87" s="1512" t="s">
        <v>100</v>
      </c>
      <c r="C87" s="253"/>
      <c r="D87" s="2278"/>
      <c r="E87" s="2062"/>
      <c r="F87" s="219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30" t="str">
        <f>INDEX(PT_DIFFERENTIATION_NTAR,MATCH(B87,PT_DIFFERENTIATION_NTAR_ID,0))</f>
        <v/>
      </c>
      <c r="H87" s="1594"/>
      <c r="I87" s="1478"/>
      <c r="J87" s="1508"/>
      <c r="K87" s="1510"/>
      <c r="L87" s="1594" t="s">
        <v>230</v>
      </c>
      <c r="M87" s="2024"/>
      <c r="N87" s="217"/>
      <c r="O87" s="1396"/>
      <c r="P87" s="1396"/>
    </row>
    <row r="88" spans="1:16" s="1664" customFormat="1" ht="18.75" hidden="1" customHeight="1">
      <c r="A88" s="1512"/>
      <c r="B88" s="1512"/>
      <c r="C88" s="253" t="s">
        <v>981</v>
      </c>
      <c r="D88" s="2278"/>
      <c r="E88" s="2062"/>
      <c r="F88" s="2196"/>
      <c r="G88" s="2230"/>
      <c r="H88" s="1270"/>
      <c r="I88" s="492" t="s">
        <v>980</v>
      </c>
      <c r="J88" s="429"/>
      <c r="K88" s="1270"/>
      <c r="L88" s="114"/>
      <c r="M88" s="1593"/>
      <c r="N88" s="217"/>
      <c r="O88" s="1396"/>
      <c r="P88" s="1396"/>
    </row>
    <row r="89" spans="1:16" s="1664" customFormat="1" ht="0.75" hidden="1" customHeight="1">
      <c r="A89" s="1512"/>
      <c r="B89" s="1512"/>
      <c r="C89" s="253" t="s">
        <v>988</v>
      </c>
      <c r="D89" s="2278"/>
      <c r="E89" s="2062"/>
      <c r="F89" s="2196"/>
      <c r="G89" s="285"/>
      <c r="H89" s="1270"/>
      <c r="I89" s="492"/>
      <c r="J89" s="429"/>
      <c r="K89" s="1270"/>
      <c r="L89" s="114"/>
      <c r="M89" s="224"/>
      <c r="N89" s="217"/>
      <c r="O89" s="1396"/>
      <c r="P89" s="1396"/>
    </row>
    <row r="90" spans="1:16" s="1664" customFormat="1" ht="45" hidden="1" customHeight="1">
      <c r="A90" s="1512" t="s">
        <v>105</v>
      </c>
      <c r="B90" s="1512" t="s">
        <v>106</v>
      </c>
      <c r="C90" s="253"/>
      <c r="D90" s="2278"/>
      <c r="E90" s="2062"/>
      <c r="F90" s="219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30" t="str">
        <f>INDEX(PT_DIFFERENTIATION_NTAR,MATCH(B90,PT_DIFFERENTIATION_NTAR_ID,0))</f>
        <v/>
      </c>
      <c r="H90" s="1594"/>
      <c r="I90" s="1478"/>
      <c r="J90" s="1508"/>
      <c r="K90" s="1510"/>
      <c r="L90" s="1594" t="s">
        <v>230</v>
      </c>
      <c r="M90" s="224"/>
      <c r="N90" s="217"/>
      <c r="O90" s="1396"/>
      <c r="P90" s="1396"/>
    </row>
    <row r="91" spans="1:16" s="1664" customFormat="1" ht="18.75" hidden="1" customHeight="1">
      <c r="A91" s="1512"/>
      <c r="B91" s="1512"/>
      <c r="C91" s="253" t="s">
        <v>981</v>
      </c>
      <c r="D91" s="2278"/>
      <c r="E91" s="2062"/>
      <c r="F91" s="2196"/>
      <c r="G91" s="2230"/>
      <c r="H91" s="1270"/>
      <c r="I91" s="492" t="s">
        <v>980</v>
      </c>
      <c r="J91" s="429"/>
      <c r="K91" s="1270"/>
      <c r="L91" s="114"/>
      <c r="M91" s="224"/>
      <c r="N91" s="217"/>
      <c r="O91" s="1396"/>
      <c r="P91" s="1396"/>
    </row>
    <row r="92" spans="1:16" s="1664" customFormat="1" ht="0.75" hidden="1" customHeight="1">
      <c r="A92" s="1512"/>
      <c r="B92" s="1512"/>
      <c r="C92" s="253" t="s">
        <v>988</v>
      </c>
      <c r="D92" s="2278"/>
      <c r="E92" s="2062"/>
      <c r="F92" s="2196"/>
      <c r="G92" s="285"/>
      <c r="H92" s="1270"/>
      <c r="I92" s="492"/>
      <c r="J92" s="429"/>
      <c r="K92" s="1270"/>
      <c r="L92" s="114"/>
      <c r="M92" s="224"/>
      <c r="N92" s="217"/>
      <c r="O92" s="1396"/>
      <c r="P92" s="1396"/>
    </row>
    <row r="93" spans="1:16" s="1664" customFormat="1" ht="45" hidden="1" customHeight="1">
      <c r="A93" s="1512" t="s">
        <v>111</v>
      </c>
      <c r="B93" s="1512" t="s">
        <v>112</v>
      </c>
      <c r="C93" s="253"/>
      <c r="D93" s="2278"/>
      <c r="E93" s="2062"/>
      <c r="F93" s="219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30" t="str">
        <f>INDEX(PT_DIFFERENTIATION_NTAR,MATCH(B93,PT_DIFFERENTIATION_NTAR_ID,0))</f>
        <v/>
      </c>
      <c r="H93" s="1594"/>
      <c r="I93" s="1478"/>
      <c r="J93" s="1508"/>
      <c r="K93" s="1510"/>
      <c r="L93" s="1594" t="s">
        <v>230</v>
      </c>
      <c r="M93" s="224"/>
      <c r="N93" s="217"/>
      <c r="O93" s="1396"/>
      <c r="P93" s="1396"/>
    </row>
    <row r="94" spans="1:16" s="1664" customFormat="1" ht="18.75" hidden="1" customHeight="1">
      <c r="A94" s="1512"/>
      <c r="B94" s="1512"/>
      <c r="C94" s="253" t="s">
        <v>981</v>
      </c>
      <c r="D94" s="2278"/>
      <c r="E94" s="2062"/>
      <c r="F94" s="2196"/>
      <c r="G94" s="2230"/>
      <c r="H94" s="1270"/>
      <c r="I94" s="492" t="s">
        <v>980</v>
      </c>
      <c r="J94" s="429"/>
      <c r="K94" s="1270"/>
      <c r="L94" s="114"/>
      <c r="M94" s="224"/>
      <c r="N94" s="217"/>
      <c r="O94" s="1396"/>
      <c r="P94" s="1396"/>
    </row>
    <row r="95" spans="1:16" s="1664" customFormat="1" ht="0.75" hidden="1" customHeight="1">
      <c r="A95" s="1512"/>
      <c r="B95" s="1512"/>
      <c r="C95" s="253" t="s">
        <v>988</v>
      </c>
      <c r="D95" s="2278"/>
      <c r="E95" s="2062"/>
      <c r="F95" s="2196"/>
      <c r="G95" s="285"/>
      <c r="H95" s="1270"/>
      <c r="I95" s="492"/>
      <c r="J95" s="429"/>
      <c r="K95" s="1270"/>
      <c r="L95" s="114"/>
      <c r="M95" s="224"/>
      <c r="N95" s="217"/>
      <c r="O95" s="1396"/>
      <c r="P95" s="1396"/>
    </row>
    <row r="96" spans="1:16" s="1664" customFormat="1" ht="18.75" hidden="1" customHeight="1">
      <c r="A96" s="1512" t="s">
        <v>117</v>
      </c>
      <c r="B96" s="1512" t="s">
        <v>118</v>
      </c>
      <c r="C96" s="253"/>
      <c r="D96" s="2278"/>
      <c r="E96" s="2062"/>
      <c r="F96" s="2196" t="str">
        <f>INDEX(PT_DIFFERENTIATION_VTAR,MATCH(A96,PT_DIFFERENTIATION_VTAR_ID,0))</f>
        <v>Тарифы на услуги по передаче тепловой энергии</v>
      </c>
      <c r="G96" s="2230" t="str">
        <f>INDEX(PT_DIFFERENTIATION_NTAR,MATCH(B96,PT_DIFFERENTIATION_NTAR_ID,0))</f>
        <v/>
      </c>
      <c r="H96" s="1594"/>
      <c r="I96" s="1478"/>
      <c r="J96" s="1508"/>
      <c r="K96" s="1510"/>
      <c r="L96" s="1594" t="s">
        <v>230</v>
      </c>
      <c r="M96" s="224"/>
      <c r="N96" s="217"/>
      <c r="O96" s="1396"/>
      <c r="P96" s="1396"/>
    </row>
    <row r="97" spans="1:16" s="1664" customFormat="1" ht="18.75" hidden="1" customHeight="1">
      <c r="A97" s="1512"/>
      <c r="B97" s="1512"/>
      <c r="C97" s="253" t="s">
        <v>981</v>
      </c>
      <c r="D97" s="2278"/>
      <c r="E97" s="2062"/>
      <c r="F97" s="2196"/>
      <c r="G97" s="2230"/>
      <c r="H97" s="1270"/>
      <c r="I97" s="492" t="s">
        <v>980</v>
      </c>
      <c r="J97" s="429"/>
      <c r="K97" s="1270"/>
      <c r="L97" s="114"/>
      <c r="M97" s="224"/>
      <c r="N97" s="217"/>
      <c r="O97" s="1396"/>
      <c r="P97" s="1396"/>
    </row>
    <row r="98" spans="1:16" s="1664" customFormat="1" ht="0.75" hidden="1" customHeight="1">
      <c r="A98" s="1512"/>
      <c r="B98" s="1512"/>
      <c r="C98" s="253" t="s">
        <v>988</v>
      </c>
      <c r="D98" s="2278"/>
      <c r="E98" s="2062"/>
      <c r="F98" s="2196"/>
      <c r="G98" s="285"/>
      <c r="H98" s="1270"/>
      <c r="I98" s="492"/>
      <c r="J98" s="429"/>
      <c r="K98" s="1270"/>
      <c r="L98" s="114"/>
      <c r="M98" s="224"/>
      <c r="N98" s="217"/>
      <c r="O98" s="1396"/>
      <c r="P98" s="1396"/>
    </row>
    <row r="99" spans="1:16" s="1664" customFormat="1" ht="18.75" hidden="1" customHeight="1">
      <c r="A99" s="1512" t="s">
        <v>123</v>
      </c>
      <c r="B99" s="1512" t="s">
        <v>124</v>
      </c>
      <c r="C99" s="253"/>
      <c r="D99" s="2278"/>
      <c r="E99" s="2062"/>
      <c r="F99" s="2196" t="str">
        <f>INDEX(PT_DIFFERENTIATION_VTAR,MATCH(A99,PT_DIFFERENTIATION_VTAR_ID,0))</f>
        <v>Тарифы на услуги по передаче теплоносителя</v>
      </c>
      <c r="G99" s="2230" t="str">
        <f>INDEX(PT_DIFFERENTIATION_NTAR,MATCH(B99,PT_DIFFERENTIATION_NTAR_ID,0))</f>
        <v/>
      </c>
      <c r="H99" s="1594"/>
      <c r="I99" s="1478"/>
      <c r="J99" s="1508"/>
      <c r="K99" s="1510"/>
      <c r="L99" s="1594" t="s">
        <v>230</v>
      </c>
      <c r="M99" s="224"/>
      <c r="N99" s="217"/>
      <c r="O99" s="1396"/>
      <c r="P99" s="1396"/>
    </row>
    <row r="100" spans="1:16" s="1664" customFormat="1" ht="18.75" hidden="1" customHeight="1">
      <c r="A100" s="1512"/>
      <c r="B100" s="1512"/>
      <c r="C100" s="253" t="s">
        <v>981</v>
      </c>
      <c r="D100" s="2278"/>
      <c r="E100" s="2062"/>
      <c r="F100" s="2196"/>
      <c r="G100" s="2230"/>
      <c r="H100" s="1270"/>
      <c r="I100" s="492" t="s">
        <v>980</v>
      </c>
      <c r="J100" s="429"/>
      <c r="K100" s="1270"/>
      <c r="L100" s="114"/>
      <c r="M100" s="224"/>
      <c r="N100" s="217"/>
      <c r="O100" s="1396"/>
      <c r="P100" s="1396"/>
    </row>
    <row r="101" spans="1:16" s="1664" customFormat="1" ht="0.75" hidden="1" customHeight="1">
      <c r="A101" s="1512"/>
      <c r="B101" s="1512"/>
      <c r="C101" s="253" t="s">
        <v>988</v>
      </c>
      <c r="D101" s="2278"/>
      <c r="E101" s="2062"/>
      <c r="F101" s="2196"/>
      <c r="G101" s="285"/>
      <c r="H101" s="1270"/>
      <c r="I101" s="492"/>
      <c r="J101" s="429"/>
      <c r="K101" s="1270"/>
      <c r="L101" s="114"/>
      <c r="M101" s="224"/>
      <c r="N101" s="217"/>
      <c r="O101" s="1396"/>
      <c r="P101" s="1396"/>
    </row>
    <row r="102" spans="1:16" s="1664" customFormat="1" ht="18.75" hidden="1" customHeight="1">
      <c r="A102" s="1512" t="s">
        <v>129</v>
      </c>
      <c r="B102" s="1512" t="s">
        <v>130</v>
      </c>
      <c r="C102" s="253"/>
      <c r="D102" s="2278"/>
      <c r="E102" s="2062"/>
      <c r="F102" s="219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30" t="str">
        <f>INDEX(PT_DIFFERENTIATION_NTAR,MATCH(B102,PT_DIFFERENTIATION_NTAR_ID,0))</f>
        <v/>
      </c>
      <c r="H102" s="1594"/>
      <c r="I102" s="1478"/>
      <c r="J102" s="1508"/>
      <c r="K102" s="1510"/>
      <c r="L102" s="1594" t="s">
        <v>230</v>
      </c>
      <c r="M102" s="224"/>
      <c r="N102" s="217"/>
      <c r="O102" s="1396"/>
      <c r="P102" s="1396"/>
    </row>
    <row r="103" spans="1:16" s="1664" customFormat="1" ht="18.75" hidden="1" customHeight="1">
      <c r="A103" s="1512"/>
      <c r="B103" s="1512"/>
      <c r="C103" s="253" t="s">
        <v>981</v>
      </c>
      <c r="D103" s="2278"/>
      <c r="E103" s="2062"/>
      <c r="F103" s="2196"/>
      <c r="G103" s="2230"/>
      <c r="H103" s="1270"/>
      <c r="I103" s="492" t="s">
        <v>980</v>
      </c>
      <c r="J103" s="429"/>
      <c r="K103" s="1270"/>
      <c r="L103" s="114"/>
      <c r="M103" s="224"/>
      <c r="N103" s="217"/>
      <c r="O103" s="1396"/>
      <c r="P103" s="1396"/>
    </row>
    <row r="104" spans="1:16" s="1664" customFormat="1" ht="0.75" hidden="1" customHeight="1">
      <c r="A104" s="1512"/>
      <c r="B104" s="1512"/>
      <c r="C104" s="253" t="s">
        <v>988</v>
      </c>
      <c r="D104" s="2278"/>
      <c r="E104" s="2062"/>
      <c r="F104" s="2196"/>
      <c r="G104" s="285"/>
      <c r="H104" s="1270"/>
      <c r="I104" s="492"/>
      <c r="J104" s="429"/>
      <c r="K104" s="1270"/>
      <c r="L104" s="114"/>
      <c r="M104" s="224"/>
      <c r="N104" s="217"/>
      <c r="O104" s="1396"/>
      <c r="P104" s="1396"/>
    </row>
    <row r="105" spans="1:16" s="1664" customFormat="1" ht="18.75" hidden="1" customHeight="1">
      <c r="A105" s="1512" t="s">
        <v>135</v>
      </c>
      <c r="B105" s="1512" t="s">
        <v>136</v>
      </c>
      <c r="C105" s="253"/>
      <c r="D105" s="2278"/>
      <c r="E105" s="2062"/>
      <c r="F105" s="2196" t="str">
        <f>INDEX(PT_DIFFERENTIATION_VTAR,MATCH(A105,PT_DIFFERENTIATION_VTAR_ID,0))</f>
        <v>Плата за подключение (технологическое присоединение) к системе теплоснабжения</v>
      </c>
      <c r="G105" s="2230" t="str">
        <f>INDEX(PT_DIFFERENTIATION_NTAR,MATCH(B105,PT_DIFFERENTIATION_NTAR_ID,0))</f>
        <v/>
      </c>
      <c r="H105" s="1594"/>
      <c r="I105" s="1478"/>
      <c r="J105" s="1508"/>
      <c r="K105" s="1510"/>
      <c r="L105" s="1594" t="s">
        <v>230</v>
      </c>
      <c r="M105" s="224"/>
      <c r="N105" s="217"/>
      <c r="O105" s="1396"/>
      <c r="P105" s="1396"/>
    </row>
    <row r="106" spans="1:16" s="1664" customFormat="1" ht="18.75" hidden="1" customHeight="1">
      <c r="A106" s="1512"/>
      <c r="B106" s="1512"/>
      <c r="C106" s="253" t="s">
        <v>981</v>
      </c>
      <c r="D106" s="2278"/>
      <c r="E106" s="2062"/>
      <c r="F106" s="2196"/>
      <c r="G106" s="2230"/>
      <c r="H106" s="1270"/>
      <c r="I106" s="492" t="s">
        <v>980</v>
      </c>
      <c r="J106" s="429"/>
      <c r="K106" s="1270"/>
      <c r="L106" s="114"/>
      <c r="M106" s="224"/>
      <c r="N106" s="217"/>
      <c r="O106" s="1396"/>
      <c r="P106" s="1396"/>
    </row>
    <row r="107" spans="1:16" s="1664" customFormat="1" ht="0.75" hidden="1" customHeight="1">
      <c r="A107" s="1512"/>
      <c r="B107" s="1512"/>
      <c r="C107" s="253" t="s">
        <v>988</v>
      </c>
      <c r="D107" s="2278"/>
      <c r="E107" s="2062"/>
      <c r="F107" s="2196"/>
      <c r="G107" s="285"/>
      <c r="H107" s="1270"/>
      <c r="I107" s="492"/>
      <c r="J107" s="429"/>
      <c r="K107" s="1270"/>
      <c r="L107" s="114"/>
      <c r="M107" s="224"/>
      <c r="N107" s="217"/>
      <c r="O107" s="1396"/>
      <c r="P107" s="1396"/>
    </row>
    <row r="108" spans="1:16" s="1664" customFormat="1" ht="18.75" hidden="1" customHeight="1">
      <c r="A108" s="1512" t="s">
        <v>149</v>
      </c>
      <c r="B108" s="1512" t="s">
        <v>150</v>
      </c>
      <c r="C108" s="253"/>
      <c r="D108" s="2278"/>
      <c r="E108" s="2062"/>
      <c r="F108" s="2196" t="str">
        <f>INDEX(PT_DIFFERENTIATION_VTAR,MATCH(A108,PT_DIFFERENTIATION_VTAR_ID,0))</f>
        <v>Тариф на питьевую воду (питьевое водоснабжение)</v>
      </c>
      <c r="G108" s="2230" t="str">
        <f>INDEX(PT_DIFFERENTIATION_NTAR,MATCH(B108,PT_DIFFERENTIATION_NTAR_ID,0))</f>
        <v/>
      </c>
      <c r="H108" s="1594"/>
      <c r="I108" s="1478"/>
      <c r="J108" s="1508"/>
      <c r="K108" s="1510"/>
      <c r="L108" s="1594" t="s">
        <v>230</v>
      </c>
      <c r="M108" s="224"/>
      <c r="N108" s="217"/>
      <c r="O108" s="1396"/>
      <c r="P108" s="1396"/>
    </row>
    <row r="109" spans="1:16" s="1664" customFormat="1" ht="18.75" hidden="1" customHeight="1">
      <c r="A109" s="1512"/>
      <c r="B109" s="1512"/>
      <c r="C109" s="253" t="s">
        <v>981</v>
      </c>
      <c r="D109" s="2278"/>
      <c r="E109" s="2062"/>
      <c r="F109" s="2196"/>
      <c r="G109" s="2230"/>
      <c r="H109" s="1270"/>
      <c r="I109" s="492" t="s">
        <v>980</v>
      </c>
      <c r="J109" s="429"/>
      <c r="K109" s="1270"/>
      <c r="L109" s="114"/>
      <c r="M109" s="224"/>
      <c r="N109" s="217"/>
      <c r="O109" s="1396"/>
      <c r="P109" s="1396"/>
    </row>
    <row r="110" spans="1:16" s="1664" customFormat="1" ht="0.75" hidden="1" customHeight="1">
      <c r="A110" s="1512"/>
      <c r="B110" s="1512"/>
      <c r="C110" s="253" t="s">
        <v>988</v>
      </c>
      <c r="D110" s="2278"/>
      <c r="E110" s="2062"/>
      <c r="F110" s="2196"/>
      <c r="G110" s="285"/>
      <c r="H110" s="1270"/>
      <c r="I110" s="492"/>
      <c r="J110" s="429"/>
      <c r="K110" s="1270"/>
      <c r="L110" s="114"/>
      <c r="M110" s="224"/>
      <c r="N110" s="217"/>
      <c r="O110" s="1396"/>
      <c r="P110" s="1396"/>
    </row>
    <row r="111" spans="1:16" s="1664" customFormat="1" ht="18.75" hidden="1" customHeight="1">
      <c r="A111" s="1512" t="s">
        <v>154</v>
      </c>
      <c r="B111" s="1512" t="s">
        <v>155</v>
      </c>
      <c r="C111" s="253"/>
      <c r="D111" s="2278"/>
      <c r="E111" s="2062"/>
      <c r="F111" s="2196" t="str">
        <f>INDEX(PT_DIFFERENTIATION_VTAR,MATCH(A111,PT_DIFFERENTIATION_VTAR_ID,0))</f>
        <v>Тариф на техническую воду</v>
      </c>
      <c r="G111" s="2230" t="str">
        <f>INDEX(PT_DIFFERENTIATION_NTAR,MATCH(B111,PT_DIFFERENTIATION_NTAR_ID,0))</f>
        <v/>
      </c>
      <c r="H111" s="1594"/>
      <c r="I111" s="1478"/>
      <c r="J111" s="1508"/>
      <c r="K111" s="1510"/>
      <c r="L111" s="1594" t="s">
        <v>230</v>
      </c>
      <c r="M111" s="224"/>
      <c r="N111" s="217"/>
      <c r="O111" s="1396"/>
      <c r="P111" s="1396"/>
    </row>
    <row r="112" spans="1:16" s="1664" customFormat="1" ht="18.75" hidden="1" customHeight="1">
      <c r="A112" s="1512"/>
      <c r="B112" s="1512"/>
      <c r="C112" s="253" t="s">
        <v>981</v>
      </c>
      <c r="D112" s="2278"/>
      <c r="E112" s="2062"/>
      <c r="F112" s="2196"/>
      <c r="G112" s="2230"/>
      <c r="H112" s="1270"/>
      <c r="I112" s="492" t="s">
        <v>980</v>
      </c>
      <c r="J112" s="429"/>
      <c r="K112" s="1270"/>
      <c r="L112" s="114"/>
      <c r="M112" s="224"/>
      <c r="N112" s="217"/>
      <c r="O112" s="1396"/>
      <c r="P112" s="1396"/>
    </row>
    <row r="113" spans="1:16" s="1664" customFormat="1" ht="0.75" hidden="1" customHeight="1">
      <c r="A113" s="1512"/>
      <c r="B113" s="1512"/>
      <c r="C113" s="253" t="s">
        <v>988</v>
      </c>
      <c r="D113" s="2278"/>
      <c r="E113" s="2062"/>
      <c r="F113" s="2196"/>
      <c r="G113" s="285"/>
      <c r="H113" s="1270"/>
      <c r="I113" s="492"/>
      <c r="J113" s="429"/>
      <c r="K113" s="1270"/>
      <c r="L113" s="114"/>
      <c r="M113" s="224"/>
      <c r="N113" s="217"/>
      <c r="O113" s="1396"/>
      <c r="P113" s="1396"/>
    </row>
    <row r="114" spans="1:16" s="1664" customFormat="1" ht="18.75" hidden="1" customHeight="1">
      <c r="A114" s="1512" t="s">
        <v>159</v>
      </c>
      <c r="B114" s="1512" t="s">
        <v>160</v>
      </c>
      <c r="C114" s="253"/>
      <c r="D114" s="2278"/>
      <c r="E114" s="2062"/>
      <c r="F114" s="2196" t="str">
        <f>INDEX(PT_DIFFERENTIATION_VTAR,MATCH(A114,PT_DIFFERENTIATION_VTAR_ID,0))</f>
        <v>Тариф на транспортировку воды</v>
      </c>
      <c r="G114" s="2230" t="str">
        <f>INDEX(PT_DIFFERENTIATION_NTAR,MATCH(B114,PT_DIFFERENTIATION_NTAR_ID,0))</f>
        <v/>
      </c>
      <c r="H114" s="1594"/>
      <c r="I114" s="1478"/>
      <c r="J114" s="1508"/>
      <c r="K114" s="1510"/>
      <c r="L114" s="1594" t="s">
        <v>230</v>
      </c>
      <c r="M114" s="224"/>
      <c r="N114" s="217"/>
      <c r="O114" s="1396"/>
      <c r="P114" s="1396"/>
    </row>
    <row r="115" spans="1:16" s="1664" customFormat="1" ht="18.75" hidden="1" customHeight="1">
      <c r="A115" s="1512"/>
      <c r="B115" s="1512"/>
      <c r="C115" s="253" t="s">
        <v>981</v>
      </c>
      <c r="D115" s="2278"/>
      <c r="E115" s="2062"/>
      <c r="F115" s="2196"/>
      <c r="G115" s="2230"/>
      <c r="H115" s="1270"/>
      <c r="I115" s="492" t="s">
        <v>980</v>
      </c>
      <c r="J115" s="429"/>
      <c r="K115" s="1270"/>
      <c r="L115" s="114"/>
      <c r="M115" s="224"/>
      <c r="N115" s="217"/>
      <c r="O115" s="1396"/>
      <c r="P115" s="1396"/>
    </row>
    <row r="116" spans="1:16" s="1664" customFormat="1" ht="0.75" hidden="1" customHeight="1">
      <c r="A116" s="1512"/>
      <c r="B116" s="1512"/>
      <c r="C116" s="253" t="s">
        <v>988</v>
      </c>
      <c r="D116" s="2278"/>
      <c r="E116" s="2062"/>
      <c r="F116" s="2196"/>
      <c r="G116" s="285"/>
      <c r="H116" s="1270"/>
      <c r="I116" s="492"/>
      <c r="J116" s="429"/>
      <c r="K116" s="1270"/>
      <c r="L116" s="114"/>
      <c r="M116" s="224"/>
      <c r="N116" s="217"/>
      <c r="O116" s="1396"/>
      <c r="P116" s="1396"/>
    </row>
    <row r="117" spans="1:16" s="1664" customFormat="1" ht="18.75" hidden="1" customHeight="1">
      <c r="A117" s="1512" t="s">
        <v>164</v>
      </c>
      <c r="B117" s="1512" t="s">
        <v>165</v>
      </c>
      <c r="C117" s="253"/>
      <c r="D117" s="2278"/>
      <c r="E117" s="2062"/>
      <c r="F117" s="2196" t="str">
        <f>INDEX(PT_DIFFERENTIATION_VTAR,MATCH(A117,PT_DIFFERENTIATION_VTAR_ID,0))</f>
        <v>Тариф на подвоз воды</v>
      </c>
      <c r="G117" s="2230" t="str">
        <f>INDEX(PT_DIFFERENTIATION_NTAR,MATCH(B117,PT_DIFFERENTIATION_NTAR_ID,0))</f>
        <v/>
      </c>
      <c r="H117" s="1594"/>
      <c r="I117" s="1478"/>
      <c r="J117" s="1508"/>
      <c r="K117" s="1510"/>
      <c r="L117" s="1594" t="s">
        <v>230</v>
      </c>
      <c r="M117" s="224"/>
      <c r="N117" s="217"/>
      <c r="O117" s="1396"/>
      <c r="P117" s="1396"/>
    </row>
    <row r="118" spans="1:16" s="1664" customFormat="1" ht="18.75" hidden="1" customHeight="1">
      <c r="A118" s="1512"/>
      <c r="B118" s="1512"/>
      <c r="C118" s="253" t="s">
        <v>981</v>
      </c>
      <c r="D118" s="2278"/>
      <c r="E118" s="2062"/>
      <c r="F118" s="2196"/>
      <c r="G118" s="2230"/>
      <c r="H118" s="1270"/>
      <c r="I118" s="492" t="s">
        <v>980</v>
      </c>
      <c r="J118" s="429"/>
      <c r="K118" s="1270"/>
      <c r="L118" s="114"/>
      <c r="M118" s="224"/>
      <c r="N118" s="217"/>
      <c r="O118" s="1396"/>
      <c r="P118" s="1396"/>
    </row>
    <row r="119" spans="1:16" s="1664" customFormat="1" ht="0.75" hidden="1" customHeight="1">
      <c r="A119" s="1512"/>
      <c r="B119" s="1512"/>
      <c r="C119" s="253" t="s">
        <v>988</v>
      </c>
      <c r="D119" s="2278"/>
      <c r="E119" s="2062"/>
      <c r="F119" s="2196"/>
      <c r="G119" s="285"/>
      <c r="H119" s="1270"/>
      <c r="I119" s="492"/>
      <c r="J119" s="429"/>
      <c r="K119" s="1270"/>
      <c r="L119" s="114"/>
      <c r="M119" s="224"/>
      <c r="N119" s="217"/>
      <c r="O119" s="1396"/>
      <c r="P119" s="1396"/>
    </row>
    <row r="120" spans="1:16" s="1664" customFormat="1" ht="18.75" hidden="1" customHeight="1">
      <c r="A120" s="1512" t="s">
        <v>169</v>
      </c>
      <c r="B120" s="1512" t="s">
        <v>170</v>
      </c>
      <c r="C120" s="253"/>
      <c r="D120" s="2278"/>
      <c r="E120" s="2062"/>
      <c r="F120" s="219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30" t="str">
        <f>INDEX(PT_DIFFERENTIATION_NTAR,MATCH(B120,PT_DIFFERENTIATION_NTAR_ID,0))</f>
        <v/>
      </c>
      <c r="H120" s="1594"/>
      <c r="I120" s="1478"/>
      <c r="J120" s="1508"/>
      <c r="K120" s="1510"/>
      <c r="L120" s="1594" t="s">
        <v>230</v>
      </c>
      <c r="M120" s="224"/>
      <c r="N120" s="217"/>
      <c r="O120" s="1396"/>
      <c r="P120" s="1396"/>
    </row>
    <row r="121" spans="1:16" s="1664" customFormat="1" ht="18.75" hidden="1" customHeight="1">
      <c r="A121" s="1512"/>
      <c r="B121" s="1512"/>
      <c r="C121" s="253" t="s">
        <v>981</v>
      </c>
      <c r="D121" s="2278"/>
      <c r="E121" s="2062"/>
      <c r="F121" s="2196"/>
      <c r="G121" s="2230"/>
      <c r="H121" s="1270"/>
      <c r="I121" s="492" t="s">
        <v>980</v>
      </c>
      <c r="J121" s="429"/>
      <c r="K121" s="1270"/>
      <c r="L121" s="114"/>
      <c r="M121" s="224"/>
      <c r="N121" s="217"/>
      <c r="O121" s="1396"/>
      <c r="P121" s="1396"/>
    </row>
    <row r="122" spans="1:16" s="1664" customFormat="1" ht="0.75" hidden="1" customHeight="1">
      <c r="A122" s="1512"/>
      <c r="B122" s="1512"/>
      <c r="C122" s="253" t="s">
        <v>988</v>
      </c>
      <c r="D122" s="2278"/>
      <c r="E122" s="2062"/>
      <c r="F122" s="2196"/>
      <c r="G122" s="285"/>
      <c r="H122" s="1270"/>
      <c r="I122" s="492"/>
      <c r="J122" s="429"/>
      <c r="K122" s="1270"/>
      <c r="L122" s="114"/>
      <c r="M122" s="224"/>
      <c r="N122" s="217"/>
      <c r="O122" s="1396"/>
      <c r="P122" s="1396"/>
    </row>
    <row r="123" spans="1:16" s="1664" customFormat="1" ht="18.75" hidden="1" customHeight="1">
      <c r="A123" s="1512" t="s">
        <v>174</v>
      </c>
      <c r="B123" s="1512" t="s">
        <v>175</v>
      </c>
      <c r="C123" s="253"/>
      <c r="D123" s="2278"/>
      <c r="E123" s="2062"/>
      <c r="F123" s="2196" t="str">
        <f>INDEX(PT_DIFFERENTIATION_VTAR,MATCH(A123,PT_DIFFERENTIATION_VTAR_ID,0))</f>
        <v>Тариф на горячую воду (горячее водоснабжение)</v>
      </c>
      <c r="G123" s="2230" t="str">
        <f>INDEX(PT_DIFFERENTIATION_NTAR,MATCH(B123,PT_DIFFERENTIATION_NTAR_ID,0))</f>
        <v/>
      </c>
      <c r="H123" s="1594"/>
      <c r="I123" s="1478"/>
      <c r="J123" s="1508"/>
      <c r="K123" s="1510"/>
      <c r="L123" s="1594" t="s">
        <v>230</v>
      </c>
      <c r="M123" s="224"/>
      <c r="N123" s="217"/>
      <c r="O123" s="1396"/>
      <c r="P123" s="1396"/>
    </row>
    <row r="124" spans="1:16" s="1664" customFormat="1" ht="18.75" hidden="1" customHeight="1">
      <c r="A124" s="1512"/>
      <c r="B124" s="1512"/>
      <c r="C124" s="253" t="s">
        <v>981</v>
      </c>
      <c r="D124" s="2278"/>
      <c r="E124" s="2062"/>
      <c r="F124" s="2196"/>
      <c r="G124" s="2230"/>
      <c r="H124" s="1270"/>
      <c r="I124" s="492" t="s">
        <v>980</v>
      </c>
      <c r="J124" s="429"/>
      <c r="K124" s="1270"/>
      <c r="L124" s="114"/>
      <c r="M124" s="224"/>
      <c r="N124" s="217"/>
      <c r="O124" s="1396"/>
      <c r="P124" s="1396"/>
    </row>
    <row r="125" spans="1:16" s="1664" customFormat="1" ht="0.75" hidden="1" customHeight="1">
      <c r="A125" s="1512"/>
      <c r="B125" s="1512"/>
      <c r="C125" s="253" t="s">
        <v>988</v>
      </c>
      <c r="D125" s="2278"/>
      <c r="E125" s="2062"/>
      <c r="F125" s="2196"/>
      <c r="G125" s="285"/>
      <c r="H125" s="1270"/>
      <c r="I125" s="492"/>
      <c r="J125" s="429"/>
      <c r="K125" s="1270"/>
      <c r="L125" s="114"/>
      <c r="M125" s="224"/>
      <c r="N125" s="217"/>
      <c r="O125" s="1396"/>
      <c r="P125" s="1396"/>
    </row>
    <row r="126" spans="1:16" s="1664" customFormat="1" ht="18.75" hidden="1" customHeight="1">
      <c r="A126" s="1512" t="s">
        <v>179</v>
      </c>
      <c r="B126" s="1512" t="s">
        <v>180</v>
      </c>
      <c r="C126" s="253"/>
      <c r="D126" s="2278"/>
      <c r="E126" s="2062"/>
      <c r="F126" s="2196" t="str">
        <f>INDEX(PT_DIFFERENTIATION_VTAR,MATCH(A126,PT_DIFFERENTIATION_VTAR_ID,0))</f>
        <v>Тариф на транспортировку горячей воды</v>
      </c>
      <c r="G126" s="2230" t="str">
        <f>INDEX(PT_DIFFERENTIATION_NTAR,MATCH(B126,PT_DIFFERENTIATION_NTAR_ID,0))</f>
        <v/>
      </c>
      <c r="H126" s="1594"/>
      <c r="I126" s="1478"/>
      <c r="J126" s="1508"/>
      <c r="K126" s="1510"/>
      <c r="L126" s="1594" t="s">
        <v>230</v>
      </c>
      <c r="M126" s="224"/>
      <c r="N126" s="217"/>
      <c r="O126" s="1396"/>
      <c r="P126" s="1396"/>
    </row>
    <row r="127" spans="1:16" s="1664" customFormat="1" ht="18.75" hidden="1" customHeight="1">
      <c r="A127" s="1512"/>
      <c r="B127" s="1512"/>
      <c r="C127" s="253" t="s">
        <v>981</v>
      </c>
      <c r="D127" s="2278"/>
      <c r="E127" s="2062"/>
      <c r="F127" s="2196"/>
      <c r="G127" s="2230"/>
      <c r="H127" s="1270"/>
      <c r="I127" s="492" t="s">
        <v>980</v>
      </c>
      <c r="J127" s="429"/>
      <c r="K127" s="1270"/>
      <c r="L127" s="114"/>
      <c r="M127" s="224"/>
      <c r="N127" s="217"/>
      <c r="O127" s="1396"/>
      <c r="P127" s="1396"/>
    </row>
    <row r="128" spans="1:16" s="1664" customFormat="1" ht="0.75" hidden="1" customHeight="1">
      <c r="A128" s="1512"/>
      <c r="B128" s="1512"/>
      <c r="C128" s="253" t="s">
        <v>988</v>
      </c>
      <c r="D128" s="2278"/>
      <c r="E128" s="2062"/>
      <c r="F128" s="2196"/>
      <c r="G128" s="285"/>
      <c r="H128" s="1270"/>
      <c r="I128" s="492"/>
      <c r="J128" s="429"/>
      <c r="K128" s="1270"/>
      <c r="L128" s="114"/>
      <c r="M128" s="224"/>
      <c r="N128" s="217"/>
      <c r="O128" s="1396"/>
      <c r="P128" s="1396"/>
    </row>
    <row r="129" spans="1:16" s="1664" customFormat="1" ht="18.75" hidden="1" customHeight="1">
      <c r="A129" s="1512" t="s">
        <v>184</v>
      </c>
      <c r="B129" s="1512" t="s">
        <v>185</v>
      </c>
      <c r="C129" s="253"/>
      <c r="D129" s="2278"/>
      <c r="E129" s="2062"/>
      <c r="F129" s="2196"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30" t="str">
        <f>INDEX(PT_DIFFERENTIATION_NTAR,MATCH(B129,PT_DIFFERENTIATION_NTAR_ID,0))</f>
        <v/>
      </c>
      <c r="H129" s="1594"/>
      <c r="I129" s="1478"/>
      <c r="J129" s="1508"/>
      <c r="K129" s="1510"/>
      <c r="L129" s="1594" t="s">
        <v>230</v>
      </c>
      <c r="M129" s="224"/>
      <c r="N129" s="217"/>
      <c r="O129" s="1396"/>
      <c r="P129" s="1396"/>
    </row>
    <row r="130" spans="1:16" s="1664" customFormat="1" ht="18.75" hidden="1" customHeight="1">
      <c r="A130" s="1512"/>
      <c r="B130" s="1512"/>
      <c r="C130" s="253" t="s">
        <v>981</v>
      </c>
      <c r="D130" s="2278"/>
      <c r="E130" s="2062"/>
      <c r="F130" s="2196"/>
      <c r="G130" s="2230"/>
      <c r="H130" s="1270"/>
      <c r="I130" s="492" t="s">
        <v>980</v>
      </c>
      <c r="J130" s="429"/>
      <c r="K130" s="1270"/>
      <c r="L130" s="114"/>
      <c r="M130" s="224"/>
      <c r="N130" s="217"/>
      <c r="O130" s="1396"/>
      <c r="P130" s="1396"/>
    </row>
    <row r="131" spans="1:16" s="1664" customFormat="1" ht="0.75" hidden="1" customHeight="1">
      <c r="A131" s="1512"/>
      <c r="B131" s="1512"/>
      <c r="C131" s="253" t="s">
        <v>988</v>
      </c>
      <c r="D131" s="2278"/>
      <c r="E131" s="2062"/>
      <c r="F131" s="2196"/>
      <c r="G131" s="285"/>
      <c r="H131" s="1270"/>
      <c r="I131" s="492"/>
      <c r="J131" s="429"/>
      <c r="K131" s="1270"/>
      <c r="L131" s="114"/>
      <c r="M131" s="224"/>
      <c r="N131" s="217"/>
      <c r="O131" s="1396"/>
      <c r="P131" s="1396"/>
    </row>
    <row r="132" spans="1:16" s="1664" customFormat="1" ht="18.75" hidden="1" customHeight="1">
      <c r="A132" s="1512" t="s">
        <v>189</v>
      </c>
      <c r="B132" s="1512" t="s">
        <v>190</v>
      </c>
      <c r="C132" s="253"/>
      <c r="D132" s="2278"/>
      <c r="E132" s="2062"/>
      <c r="F132" s="2196" t="str">
        <f>INDEX(PT_DIFFERENTIATION_VTAR,MATCH(A132,PT_DIFFERENTIATION_VTAR_ID,0))</f>
        <v>Тариф на водоотведение</v>
      </c>
      <c r="G132" s="2230" t="str">
        <f>INDEX(PT_DIFFERENTIATION_NTAR,MATCH(B132,PT_DIFFERENTIATION_NTAR_ID,0))</f>
        <v/>
      </c>
      <c r="H132" s="1594"/>
      <c r="I132" s="1478"/>
      <c r="J132" s="1508"/>
      <c r="K132" s="1510"/>
      <c r="L132" s="1594" t="s">
        <v>230</v>
      </c>
      <c r="M132" s="224"/>
      <c r="N132" s="217"/>
      <c r="O132" s="1396"/>
      <c r="P132" s="1396"/>
    </row>
    <row r="133" spans="1:16" s="1664" customFormat="1" ht="18.75" hidden="1" customHeight="1">
      <c r="A133" s="1512"/>
      <c r="B133" s="1512"/>
      <c r="C133" s="253" t="s">
        <v>981</v>
      </c>
      <c r="D133" s="2278"/>
      <c r="E133" s="2062"/>
      <c r="F133" s="2196"/>
      <c r="G133" s="2230"/>
      <c r="H133" s="1270"/>
      <c r="I133" s="492" t="s">
        <v>980</v>
      </c>
      <c r="J133" s="429"/>
      <c r="K133" s="1270"/>
      <c r="L133" s="114"/>
      <c r="M133" s="224"/>
      <c r="N133" s="217"/>
      <c r="O133" s="1396"/>
      <c r="P133" s="1396"/>
    </row>
    <row r="134" spans="1:16" s="1664" customFormat="1" ht="0.75" hidden="1" customHeight="1">
      <c r="A134" s="1512"/>
      <c r="B134" s="1512"/>
      <c r="C134" s="253" t="s">
        <v>988</v>
      </c>
      <c r="D134" s="2278"/>
      <c r="E134" s="2062"/>
      <c r="F134" s="2196"/>
      <c r="G134" s="285"/>
      <c r="H134" s="1270"/>
      <c r="I134" s="492"/>
      <c r="J134" s="429"/>
      <c r="K134" s="1270"/>
      <c r="L134" s="114"/>
      <c r="M134" s="224"/>
      <c r="N134" s="217"/>
      <c r="O134" s="1396"/>
      <c r="P134" s="1396"/>
    </row>
    <row r="135" spans="1:16" s="1664" customFormat="1" ht="18.75" hidden="1" customHeight="1">
      <c r="A135" s="1512" t="s">
        <v>194</v>
      </c>
      <c r="B135" s="1512" t="s">
        <v>195</v>
      </c>
      <c r="C135" s="253"/>
      <c r="D135" s="2278"/>
      <c r="E135" s="2062"/>
      <c r="F135" s="2196" t="str">
        <f>INDEX(PT_DIFFERENTIATION_VTAR,MATCH(A135,PT_DIFFERENTIATION_VTAR_ID,0))</f>
        <v>Тариф на транспортировку сточных вод</v>
      </c>
      <c r="G135" s="2230" t="str">
        <f>INDEX(PT_DIFFERENTIATION_NTAR,MATCH(B135,PT_DIFFERENTIATION_NTAR_ID,0))</f>
        <v/>
      </c>
      <c r="H135" s="1594"/>
      <c r="I135" s="1478"/>
      <c r="J135" s="1508"/>
      <c r="K135" s="1510"/>
      <c r="L135" s="1594" t="s">
        <v>230</v>
      </c>
      <c r="M135" s="224"/>
      <c r="N135" s="217"/>
      <c r="O135" s="1396"/>
      <c r="P135" s="1396"/>
    </row>
    <row r="136" spans="1:16" s="1664" customFormat="1" ht="18.75" hidden="1" customHeight="1">
      <c r="A136" s="1512"/>
      <c r="B136" s="1512"/>
      <c r="C136" s="253" t="s">
        <v>981</v>
      </c>
      <c r="D136" s="2278"/>
      <c r="E136" s="2062"/>
      <c r="F136" s="2196"/>
      <c r="G136" s="2230"/>
      <c r="H136" s="1270"/>
      <c r="I136" s="492" t="s">
        <v>980</v>
      </c>
      <c r="J136" s="429"/>
      <c r="K136" s="1270"/>
      <c r="L136" s="114"/>
      <c r="M136" s="224"/>
      <c r="N136" s="217"/>
      <c r="O136" s="1396"/>
      <c r="P136" s="1396"/>
    </row>
    <row r="137" spans="1:16" s="1664" customFormat="1" ht="0.75" hidden="1" customHeight="1">
      <c r="A137" s="1512"/>
      <c r="B137" s="1512"/>
      <c r="C137" s="253" t="s">
        <v>988</v>
      </c>
      <c r="D137" s="2278"/>
      <c r="E137" s="2062"/>
      <c r="F137" s="2196"/>
      <c r="G137" s="285"/>
      <c r="H137" s="1270"/>
      <c r="I137" s="492"/>
      <c r="J137" s="429"/>
      <c r="K137" s="1270"/>
      <c r="L137" s="114"/>
      <c r="M137" s="224"/>
      <c r="N137" s="217"/>
      <c r="O137" s="1396"/>
      <c r="P137" s="1396"/>
    </row>
    <row r="138" spans="1:16" s="1664" customFormat="1" ht="18.75" hidden="1" customHeight="1">
      <c r="A138" s="1512" t="s">
        <v>199</v>
      </c>
      <c r="B138" s="1512" t="s">
        <v>200</v>
      </c>
      <c r="C138" s="253"/>
      <c r="D138" s="2278"/>
      <c r="E138" s="2062"/>
      <c r="F138" s="2196" t="str">
        <f>INDEX(PT_DIFFERENTIATION_VTAR,MATCH(A138,PT_DIFFERENTIATION_VTAR_ID,0))</f>
        <v>Тариф на подключение (технологическое присоединение) к централизованной системе водоотведения</v>
      </c>
      <c r="G138" s="2230" t="str">
        <f>INDEX(PT_DIFFERENTIATION_NTAR,MATCH(B138,PT_DIFFERENTIATION_NTAR_ID,0))</f>
        <v/>
      </c>
      <c r="H138" s="1594"/>
      <c r="I138" s="1478"/>
      <c r="J138" s="1508"/>
      <c r="K138" s="1510"/>
      <c r="L138" s="1594" t="s">
        <v>230</v>
      </c>
      <c r="M138" s="224"/>
      <c r="N138" s="217"/>
      <c r="O138" s="1396"/>
      <c r="P138" s="1396"/>
    </row>
    <row r="139" spans="1:16" s="1664" customFormat="1" ht="18.75" hidden="1" customHeight="1">
      <c r="A139" s="1512"/>
      <c r="B139" s="1512"/>
      <c r="C139" s="253" t="s">
        <v>981</v>
      </c>
      <c r="D139" s="2278"/>
      <c r="E139" s="2062"/>
      <c r="F139" s="2196"/>
      <c r="G139" s="2230"/>
      <c r="H139" s="1270"/>
      <c r="I139" s="492" t="s">
        <v>980</v>
      </c>
      <c r="J139" s="429"/>
      <c r="K139" s="1270"/>
      <c r="L139" s="114"/>
      <c r="M139" s="224"/>
      <c r="N139" s="217"/>
      <c r="O139" s="1396"/>
      <c r="P139" s="1396"/>
    </row>
    <row r="140" spans="1:16" s="1664" customFormat="1" ht="0.75" customHeight="1">
      <c r="A140" s="1512"/>
      <c r="B140" s="1512"/>
      <c r="C140" s="253" t="s">
        <v>988</v>
      </c>
      <c r="D140" s="2278"/>
      <c r="E140" s="2062"/>
      <c r="F140" s="2196"/>
      <c r="G140" s="285"/>
      <c r="H140" s="1270"/>
      <c r="I140" s="492"/>
      <c r="J140" s="429"/>
      <c r="K140" s="1270"/>
      <c r="L140" s="114"/>
      <c r="M140" s="224"/>
      <c r="N140" s="217"/>
      <c r="O140" s="1396"/>
      <c r="P140" s="1396"/>
    </row>
    <row r="141" spans="1:16" ht="18.75" customHeight="1">
      <c r="A141" s="1512"/>
      <c r="B141" s="1512"/>
      <c r="D141" s="261"/>
      <c r="E141" s="53" t="s">
        <v>25</v>
      </c>
      <c r="F141" s="227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72"/>
      <c r="H141" s="2272"/>
      <c r="I141" s="2272"/>
      <c r="J141" s="2272"/>
      <c r="K141" s="2272"/>
      <c r="L141" s="2272"/>
      <c r="M141" s="172"/>
      <c r="N141" s="217"/>
    </row>
    <row r="142" spans="1:16" s="1664" customFormat="1" ht="60.75" hidden="1" customHeight="1">
      <c r="A142" s="1512" t="s">
        <v>93</v>
      </c>
      <c r="B142" s="1512" t="s">
        <v>94</v>
      </c>
      <c r="C142" s="253"/>
      <c r="D142" s="2278"/>
      <c r="E142" s="2062"/>
      <c r="F142" s="219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30" t="str">
        <f>INDEX(PT_DIFFERENTIATION_NTAR,MATCH(B142,PT_DIFFERENTIATION_NTAR_ID,0))</f>
        <v/>
      </c>
      <c r="H142" s="1594"/>
      <c r="I142" s="1478"/>
      <c r="J142" s="1508"/>
      <c r="K142" s="1510"/>
      <c r="L142" s="1594" t="s">
        <v>230</v>
      </c>
      <c r="M142" s="20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17"/>
      <c r="O142" s="1396"/>
      <c r="P142" s="1396"/>
    </row>
    <row r="143" spans="1:16" s="1664" customFormat="1" ht="18.75" hidden="1" customHeight="1">
      <c r="A143" s="1512"/>
      <c r="B143" s="1512"/>
      <c r="C143" s="253" t="s">
        <v>981</v>
      </c>
      <c r="D143" s="2278"/>
      <c r="E143" s="2062"/>
      <c r="F143" s="2196"/>
      <c r="G143" s="2230"/>
      <c r="H143" s="1270"/>
      <c r="I143" s="492" t="s">
        <v>980</v>
      </c>
      <c r="J143" s="429"/>
      <c r="K143" s="1270"/>
      <c r="L143" s="114"/>
      <c r="M143" s="2023"/>
      <c r="N143" s="217"/>
      <c r="O143" s="1396"/>
      <c r="P143" s="1396"/>
    </row>
    <row r="144" spans="1:16" s="1664" customFormat="1" ht="0.75" hidden="1" customHeight="1">
      <c r="A144" s="1512"/>
      <c r="B144" s="1512"/>
      <c r="C144" s="253" t="s">
        <v>988</v>
      </c>
      <c r="D144" s="2278"/>
      <c r="E144" s="2062"/>
      <c r="F144" s="2196"/>
      <c r="G144" s="285"/>
      <c r="H144" s="1270"/>
      <c r="I144" s="492"/>
      <c r="J144" s="429"/>
      <c r="K144" s="1270"/>
      <c r="L144" s="114"/>
      <c r="M144" s="2023"/>
      <c r="N144" s="217"/>
      <c r="O144" s="1396"/>
      <c r="P144" s="1396"/>
    </row>
    <row r="145" spans="1:16" s="1664" customFormat="1" ht="45" hidden="1" customHeight="1">
      <c r="A145" s="1512" t="s">
        <v>99</v>
      </c>
      <c r="B145" s="1512" t="s">
        <v>100</v>
      </c>
      <c r="C145" s="253"/>
      <c r="D145" s="2278"/>
      <c r="E145" s="2062"/>
      <c r="F145" s="219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30" t="str">
        <f>INDEX(PT_DIFFERENTIATION_NTAR,MATCH(B145,PT_DIFFERENTIATION_NTAR_ID,0))</f>
        <v/>
      </c>
      <c r="H145" s="1594"/>
      <c r="I145" s="1478"/>
      <c r="J145" s="1508"/>
      <c r="K145" s="1510"/>
      <c r="L145" s="1594" t="s">
        <v>230</v>
      </c>
      <c r="M145" s="2024"/>
      <c r="N145" s="217"/>
      <c r="O145" s="1396"/>
      <c r="P145" s="1396"/>
    </row>
    <row r="146" spans="1:16" s="1664" customFormat="1" ht="18.75" hidden="1" customHeight="1">
      <c r="A146" s="1512"/>
      <c r="B146" s="1512"/>
      <c r="C146" s="253" t="s">
        <v>981</v>
      </c>
      <c r="D146" s="2278"/>
      <c r="E146" s="2062"/>
      <c r="F146" s="2196"/>
      <c r="G146" s="2230"/>
      <c r="H146" s="1270"/>
      <c r="I146" s="492" t="s">
        <v>980</v>
      </c>
      <c r="J146" s="429"/>
      <c r="K146" s="1270"/>
      <c r="L146" s="114"/>
      <c r="M146" s="1593"/>
      <c r="N146" s="217"/>
      <c r="O146" s="1396"/>
      <c r="P146" s="1396"/>
    </row>
    <row r="147" spans="1:16" s="1664" customFormat="1" ht="0.75" hidden="1" customHeight="1">
      <c r="A147" s="1512"/>
      <c r="B147" s="1512"/>
      <c r="C147" s="253" t="s">
        <v>988</v>
      </c>
      <c r="D147" s="2278"/>
      <c r="E147" s="2062"/>
      <c r="F147" s="2196"/>
      <c r="G147" s="285"/>
      <c r="H147" s="1270"/>
      <c r="I147" s="492"/>
      <c r="J147" s="429"/>
      <c r="K147" s="1270"/>
      <c r="L147" s="114"/>
      <c r="M147" s="224"/>
      <c r="N147" s="217"/>
      <c r="O147" s="1396"/>
      <c r="P147" s="1396"/>
    </row>
    <row r="148" spans="1:16" s="1664" customFormat="1" ht="45" hidden="1" customHeight="1">
      <c r="A148" s="1512" t="s">
        <v>105</v>
      </c>
      <c r="B148" s="1512" t="s">
        <v>106</v>
      </c>
      <c r="C148" s="253"/>
      <c r="D148" s="2278"/>
      <c r="E148" s="2062"/>
      <c r="F148" s="219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30" t="str">
        <f>INDEX(PT_DIFFERENTIATION_NTAR,MATCH(B148,PT_DIFFERENTIATION_NTAR_ID,0))</f>
        <v/>
      </c>
      <c r="H148" s="1594"/>
      <c r="I148" s="1478"/>
      <c r="J148" s="1508"/>
      <c r="K148" s="1510"/>
      <c r="L148" s="1594" t="s">
        <v>230</v>
      </c>
      <c r="M148" s="224"/>
      <c r="N148" s="217"/>
      <c r="O148" s="1396"/>
      <c r="P148" s="1396"/>
    </row>
    <row r="149" spans="1:16" s="1664" customFormat="1" ht="18.75" hidden="1" customHeight="1">
      <c r="A149" s="1512"/>
      <c r="B149" s="1512"/>
      <c r="C149" s="253" t="s">
        <v>981</v>
      </c>
      <c r="D149" s="2278"/>
      <c r="E149" s="2062"/>
      <c r="F149" s="2196"/>
      <c r="G149" s="2230"/>
      <c r="H149" s="1270"/>
      <c r="I149" s="492" t="s">
        <v>980</v>
      </c>
      <c r="J149" s="429"/>
      <c r="K149" s="1270"/>
      <c r="L149" s="114"/>
      <c r="M149" s="224"/>
      <c r="N149" s="217"/>
      <c r="O149" s="1396"/>
      <c r="P149" s="1396"/>
    </row>
    <row r="150" spans="1:16" s="1664" customFormat="1" ht="0.75" hidden="1" customHeight="1">
      <c r="A150" s="1512"/>
      <c r="B150" s="1512"/>
      <c r="C150" s="253" t="s">
        <v>988</v>
      </c>
      <c r="D150" s="2278"/>
      <c r="E150" s="2062"/>
      <c r="F150" s="2196"/>
      <c r="G150" s="285"/>
      <c r="H150" s="1270"/>
      <c r="I150" s="492"/>
      <c r="J150" s="429"/>
      <c r="K150" s="1270"/>
      <c r="L150" s="114"/>
      <c r="M150" s="224"/>
      <c r="N150" s="217"/>
      <c r="O150" s="1396"/>
      <c r="P150" s="1396"/>
    </row>
    <row r="151" spans="1:16" s="1664" customFormat="1" ht="45" hidden="1" customHeight="1">
      <c r="A151" s="1512" t="s">
        <v>111</v>
      </c>
      <c r="B151" s="1512" t="s">
        <v>112</v>
      </c>
      <c r="C151" s="253"/>
      <c r="D151" s="2278"/>
      <c r="E151" s="2062"/>
      <c r="F151" s="219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30" t="str">
        <f>INDEX(PT_DIFFERENTIATION_NTAR,MATCH(B151,PT_DIFFERENTIATION_NTAR_ID,0))</f>
        <v/>
      </c>
      <c r="H151" s="1594"/>
      <c r="I151" s="1478"/>
      <c r="J151" s="1508"/>
      <c r="K151" s="1510"/>
      <c r="L151" s="1594" t="s">
        <v>230</v>
      </c>
      <c r="M151" s="224"/>
      <c r="N151" s="217"/>
      <c r="O151" s="1396"/>
      <c r="P151" s="1396"/>
    </row>
    <row r="152" spans="1:16" s="1664" customFormat="1" ht="18.75" hidden="1" customHeight="1">
      <c r="A152" s="1512"/>
      <c r="B152" s="1512"/>
      <c r="C152" s="253" t="s">
        <v>981</v>
      </c>
      <c r="D152" s="2278"/>
      <c r="E152" s="2062"/>
      <c r="F152" s="2196"/>
      <c r="G152" s="2230"/>
      <c r="H152" s="1270"/>
      <c r="I152" s="492" t="s">
        <v>980</v>
      </c>
      <c r="J152" s="429"/>
      <c r="K152" s="1270"/>
      <c r="L152" s="114"/>
      <c r="M152" s="224"/>
      <c r="N152" s="217"/>
      <c r="O152" s="1396"/>
      <c r="P152" s="1396"/>
    </row>
    <row r="153" spans="1:16" s="1664" customFormat="1" ht="0.75" hidden="1" customHeight="1">
      <c r="A153" s="1512"/>
      <c r="B153" s="1512"/>
      <c r="C153" s="253" t="s">
        <v>988</v>
      </c>
      <c r="D153" s="2278"/>
      <c r="E153" s="2062"/>
      <c r="F153" s="2196"/>
      <c r="G153" s="285"/>
      <c r="H153" s="1270"/>
      <c r="I153" s="492"/>
      <c r="J153" s="429"/>
      <c r="K153" s="1270"/>
      <c r="L153" s="114"/>
      <c r="M153" s="224"/>
      <c r="N153" s="217"/>
      <c r="O153" s="1396"/>
      <c r="P153" s="1396"/>
    </row>
    <row r="154" spans="1:16" s="1664" customFormat="1" ht="18.75" hidden="1" customHeight="1">
      <c r="A154" s="1512" t="s">
        <v>117</v>
      </c>
      <c r="B154" s="1512" t="s">
        <v>118</v>
      </c>
      <c r="C154" s="253"/>
      <c r="D154" s="2278"/>
      <c r="E154" s="2062"/>
      <c r="F154" s="2196" t="str">
        <f>INDEX(PT_DIFFERENTIATION_VTAR,MATCH(A154,PT_DIFFERENTIATION_VTAR_ID,0))</f>
        <v>Тарифы на услуги по передаче тепловой энергии</v>
      </c>
      <c r="G154" s="2230" t="str">
        <f>INDEX(PT_DIFFERENTIATION_NTAR,MATCH(B154,PT_DIFFERENTIATION_NTAR_ID,0))</f>
        <v/>
      </c>
      <c r="H154" s="1594"/>
      <c r="I154" s="1478"/>
      <c r="J154" s="1508"/>
      <c r="K154" s="1510"/>
      <c r="L154" s="1594" t="s">
        <v>230</v>
      </c>
      <c r="M154" s="224"/>
      <c r="N154" s="217"/>
      <c r="O154" s="1396"/>
      <c r="P154" s="1396"/>
    </row>
    <row r="155" spans="1:16" s="1664" customFormat="1" ht="18.75" hidden="1" customHeight="1">
      <c r="A155" s="1512"/>
      <c r="B155" s="1512"/>
      <c r="C155" s="253" t="s">
        <v>981</v>
      </c>
      <c r="D155" s="2278"/>
      <c r="E155" s="2062"/>
      <c r="F155" s="2196"/>
      <c r="G155" s="2230"/>
      <c r="H155" s="1270"/>
      <c r="I155" s="492" t="s">
        <v>980</v>
      </c>
      <c r="J155" s="429"/>
      <c r="K155" s="1270"/>
      <c r="L155" s="114"/>
      <c r="M155" s="224"/>
      <c r="N155" s="217"/>
      <c r="O155" s="1396"/>
      <c r="P155" s="1396"/>
    </row>
    <row r="156" spans="1:16" s="1664" customFormat="1" ht="0.75" hidden="1" customHeight="1">
      <c r="A156" s="1512"/>
      <c r="B156" s="1512"/>
      <c r="C156" s="253" t="s">
        <v>988</v>
      </c>
      <c r="D156" s="2278"/>
      <c r="E156" s="2062"/>
      <c r="F156" s="2196"/>
      <c r="G156" s="285"/>
      <c r="H156" s="1270"/>
      <c r="I156" s="492"/>
      <c r="J156" s="429"/>
      <c r="K156" s="1270"/>
      <c r="L156" s="114"/>
      <c r="M156" s="224"/>
      <c r="N156" s="217"/>
      <c r="O156" s="1396"/>
      <c r="P156" s="1396"/>
    </row>
    <row r="157" spans="1:16" s="1664" customFormat="1" ht="18.75" hidden="1" customHeight="1">
      <c r="A157" s="1512" t="s">
        <v>123</v>
      </c>
      <c r="B157" s="1512" t="s">
        <v>124</v>
      </c>
      <c r="C157" s="253"/>
      <c r="D157" s="2278"/>
      <c r="E157" s="2062"/>
      <c r="F157" s="2196" t="str">
        <f>INDEX(PT_DIFFERENTIATION_VTAR,MATCH(A157,PT_DIFFERENTIATION_VTAR_ID,0))</f>
        <v>Тарифы на услуги по передаче теплоносителя</v>
      </c>
      <c r="G157" s="2230" t="str">
        <f>INDEX(PT_DIFFERENTIATION_NTAR,MATCH(B157,PT_DIFFERENTIATION_NTAR_ID,0))</f>
        <v/>
      </c>
      <c r="H157" s="1594"/>
      <c r="I157" s="1478"/>
      <c r="J157" s="1508"/>
      <c r="K157" s="1510"/>
      <c r="L157" s="1594" t="s">
        <v>230</v>
      </c>
      <c r="M157" s="224"/>
      <c r="N157" s="217"/>
      <c r="O157" s="1396"/>
      <c r="P157" s="1396"/>
    </row>
    <row r="158" spans="1:16" s="1664" customFormat="1" ht="18.75" hidden="1" customHeight="1">
      <c r="A158" s="1512"/>
      <c r="B158" s="1512"/>
      <c r="C158" s="253" t="s">
        <v>981</v>
      </c>
      <c r="D158" s="2278"/>
      <c r="E158" s="2062"/>
      <c r="F158" s="2196"/>
      <c r="G158" s="2230"/>
      <c r="H158" s="1270"/>
      <c r="I158" s="492" t="s">
        <v>980</v>
      </c>
      <c r="J158" s="429"/>
      <c r="K158" s="1270"/>
      <c r="L158" s="114"/>
      <c r="M158" s="224"/>
      <c r="N158" s="217"/>
      <c r="O158" s="1396"/>
      <c r="P158" s="1396"/>
    </row>
    <row r="159" spans="1:16" s="1664" customFormat="1" ht="0.75" hidden="1" customHeight="1">
      <c r="A159" s="1512"/>
      <c r="B159" s="1512"/>
      <c r="C159" s="253" t="s">
        <v>988</v>
      </c>
      <c r="D159" s="2278"/>
      <c r="E159" s="2062"/>
      <c r="F159" s="2196"/>
      <c r="G159" s="285"/>
      <c r="H159" s="1270"/>
      <c r="I159" s="492"/>
      <c r="J159" s="429"/>
      <c r="K159" s="1270"/>
      <c r="L159" s="114"/>
      <c r="M159" s="224"/>
      <c r="N159" s="217"/>
      <c r="O159" s="1396"/>
      <c r="P159" s="1396"/>
    </row>
    <row r="160" spans="1:16" s="1664" customFormat="1" ht="18.75" hidden="1" customHeight="1">
      <c r="A160" s="1512" t="s">
        <v>129</v>
      </c>
      <c r="B160" s="1512" t="s">
        <v>130</v>
      </c>
      <c r="C160" s="253"/>
      <c r="D160" s="2278"/>
      <c r="E160" s="2062"/>
      <c r="F160" s="219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30" t="str">
        <f>INDEX(PT_DIFFERENTIATION_NTAR,MATCH(B160,PT_DIFFERENTIATION_NTAR_ID,0))</f>
        <v/>
      </c>
      <c r="H160" s="1594"/>
      <c r="I160" s="1478"/>
      <c r="J160" s="1508"/>
      <c r="K160" s="1510"/>
      <c r="L160" s="1594" t="s">
        <v>230</v>
      </c>
      <c r="M160" s="224"/>
      <c r="N160" s="217"/>
      <c r="O160" s="1396"/>
      <c r="P160" s="1396"/>
    </row>
    <row r="161" spans="1:16" s="1664" customFormat="1" ht="18.75" hidden="1" customHeight="1">
      <c r="A161" s="1512"/>
      <c r="B161" s="1512"/>
      <c r="C161" s="253" t="s">
        <v>981</v>
      </c>
      <c r="D161" s="2278"/>
      <c r="E161" s="2062"/>
      <c r="F161" s="2196"/>
      <c r="G161" s="2230"/>
      <c r="H161" s="1270"/>
      <c r="I161" s="492" t="s">
        <v>980</v>
      </c>
      <c r="J161" s="429"/>
      <c r="K161" s="1270"/>
      <c r="L161" s="114"/>
      <c r="M161" s="224"/>
      <c r="N161" s="217"/>
      <c r="O161" s="1396"/>
      <c r="P161" s="1396"/>
    </row>
    <row r="162" spans="1:16" s="1664" customFormat="1" ht="0.75" hidden="1" customHeight="1">
      <c r="A162" s="1512"/>
      <c r="B162" s="1512"/>
      <c r="C162" s="253" t="s">
        <v>988</v>
      </c>
      <c r="D162" s="2278"/>
      <c r="E162" s="2062"/>
      <c r="F162" s="2196"/>
      <c r="G162" s="285"/>
      <c r="H162" s="1270"/>
      <c r="I162" s="492"/>
      <c r="J162" s="429"/>
      <c r="K162" s="1270"/>
      <c r="L162" s="114"/>
      <c r="M162" s="224"/>
      <c r="N162" s="217"/>
      <c r="O162" s="1396"/>
      <c r="P162" s="1396"/>
    </row>
    <row r="163" spans="1:16" s="1664" customFormat="1" ht="18.75" hidden="1" customHeight="1">
      <c r="A163" s="1512" t="s">
        <v>135</v>
      </c>
      <c r="B163" s="1512" t="s">
        <v>136</v>
      </c>
      <c r="C163" s="253"/>
      <c r="D163" s="2278"/>
      <c r="E163" s="2062"/>
      <c r="F163" s="2196" t="str">
        <f>INDEX(PT_DIFFERENTIATION_VTAR,MATCH(A163,PT_DIFFERENTIATION_VTAR_ID,0))</f>
        <v>Плата за подключение (технологическое присоединение) к системе теплоснабжения</v>
      </c>
      <c r="G163" s="2230" t="str">
        <f>INDEX(PT_DIFFERENTIATION_NTAR,MATCH(B163,PT_DIFFERENTIATION_NTAR_ID,0))</f>
        <v/>
      </c>
      <c r="H163" s="1594"/>
      <c r="I163" s="1478"/>
      <c r="J163" s="1508"/>
      <c r="K163" s="1510"/>
      <c r="L163" s="1594" t="s">
        <v>230</v>
      </c>
      <c r="M163" s="224"/>
      <c r="N163" s="217"/>
      <c r="O163" s="1396"/>
      <c r="P163" s="1396"/>
    </row>
    <row r="164" spans="1:16" s="1664" customFormat="1" ht="18.75" hidden="1" customHeight="1">
      <c r="A164" s="1512"/>
      <c r="B164" s="1512"/>
      <c r="C164" s="253" t="s">
        <v>981</v>
      </c>
      <c r="D164" s="2278"/>
      <c r="E164" s="2062"/>
      <c r="F164" s="2196"/>
      <c r="G164" s="2230"/>
      <c r="H164" s="1270"/>
      <c r="I164" s="492" t="s">
        <v>980</v>
      </c>
      <c r="J164" s="429"/>
      <c r="K164" s="1270"/>
      <c r="L164" s="114"/>
      <c r="M164" s="224"/>
      <c r="N164" s="217"/>
      <c r="O164" s="1396"/>
      <c r="P164" s="1396"/>
    </row>
    <row r="165" spans="1:16" s="1664" customFormat="1" ht="0.75" hidden="1" customHeight="1">
      <c r="A165" s="1512"/>
      <c r="B165" s="1512"/>
      <c r="C165" s="253" t="s">
        <v>988</v>
      </c>
      <c r="D165" s="2278"/>
      <c r="E165" s="2062"/>
      <c r="F165" s="2196"/>
      <c r="G165" s="285"/>
      <c r="H165" s="1270"/>
      <c r="I165" s="492"/>
      <c r="J165" s="429"/>
      <c r="K165" s="1270"/>
      <c r="L165" s="114"/>
      <c r="M165" s="224"/>
      <c r="N165" s="217"/>
      <c r="O165" s="1396"/>
      <c r="P165" s="1396"/>
    </row>
    <row r="166" spans="1:16" s="1664" customFormat="1" ht="18.75" hidden="1" customHeight="1">
      <c r="A166" s="1512" t="s">
        <v>149</v>
      </c>
      <c r="B166" s="1512" t="s">
        <v>150</v>
      </c>
      <c r="C166" s="253"/>
      <c r="D166" s="2278"/>
      <c r="E166" s="2062"/>
      <c r="F166" s="2196" t="str">
        <f>INDEX(PT_DIFFERENTIATION_VTAR,MATCH(A166,PT_DIFFERENTIATION_VTAR_ID,0))</f>
        <v>Тариф на питьевую воду (питьевое водоснабжение)</v>
      </c>
      <c r="G166" s="2230" t="str">
        <f>INDEX(PT_DIFFERENTIATION_NTAR,MATCH(B166,PT_DIFFERENTIATION_NTAR_ID,0))</f>
        <v/>
      </c>
      <c r="H166" s="1594"/>
      <c r="I166" s="1478"/>
      <c r="J166" s="1508"/>
      <c r="K166" s="1510"/>
      <c r="L166" s="1594" t="s">
        <v>230</v>
      </c>
      <c r="M166" s="224"/>
      <c r="N166" s="217"/>
      <c r="O166" s="1396"/>
      <c r="P166" s="1396"/>
    </row>
    <row r="167" spans="1:16" s="1664" customFormat="1" ht="18.75" hidden="1" customHeight="1">
      <c r="A167" s="1512"/>
      <c r="B167" s="1512"/>
      <c r="C167" s="253" t="s">
        <v>981</v>
      </c>
      <c r="D167" s="2278"/>
      <c r="E167" s="2062"/>
      <c r="F167" s="2196"/>
      <c r="G167" s="2230"/>
      <c r="H167" s="1270"/>
      <c r="I167" s="492" t="s">
        <v>980</v>
      </c>
      <c r="J167" s="429"/>
      <c r="K167" s="1270"/>
      <c r="L167" s="114"/>
      <c r="M167" s="224"/>
      <c r="N167" s="217"/>
      <c r="O167" s="1396"/>
      <c r="P167" s="1396"/>
    </row>
    <row r="168" spans="1:16" s="1664" customFormat="1" ht="0.75" hidden="1" customHeight="1">
      <c r="A168" s="1512"/>
      <c r="B168" s="1512"/>
      <c r="C168" s="253" t="s">
        <v>988</v>
      </c>
      <c r="D168" s="2278"/>
      <c r="E168" s="2062"/>
      <c r="F168" s="2196"/>
      <c r="G168" s="285"/>
      <c r="H168" s="1270"/>
      <c r="I168" s="492"/>
      <c r="J168" s="429"/>
      <c r="K168" s="1270"/>
      <c r="L168" s="114"/>
      <c r="M168" s="224"/>
      <c r="N168" s="217"/>
      <c r="O168" s="1396"/>
      <c r="P168" s="1396"/>
    </row>
    <row r="169" spans="1:16" s="1664" customFormat="1" ht="18.75" hidden="1" customHeight="1">
      <c r="A169" s="1512" t="s">
        <v>154</v>
      </c>
      <c r="B169" s="1512" t="s">
        <v>155</v>
      </c>
      <c r="C169" s="253"/>
      <c r="D169" s="2278"/>
      <c r="E169" s="2062"/>
      <c r="F169" s="2196" t="str">
        <f>INDEX(PT_DIFFERENTIATION_VTAR,MATCH(A169,PT_DIFFERENTIATION_VTAR_ID,0))</f>
        <v>Тариф на техническую воду</v>
      </c>
      <c r="G169" s="2230" t="str">
        <f>INDEX(PT_DIFFERENTIATION_NTAR,MATCH(B169,PT_DIFFERENTIATION_NTAR_ID,0))</f>
        <v/>
      </c>
      <c r="H169" s="1594"/>
      <c r="I169" s="1478"/>
      <c r="J169" s="1508"/>
      <c r="K169" s="1510"/>
      <c r="L169" s="1594" t="s">
        <v>230</v>
      </c>
      <c r="M169" s="224"/>
      <c r="N169" s="217"/>
      <c r="O169" s="1396"/>
      <c r="P169" s="1396"/>
    </row>
    <row r="170" spans="1:16" s="1664" customFormat="1" ht="18.75" hidden="1" customHeight="1">
      <c r="A170" s="1512"/>
      <c r="B170" s="1512"/>
      <c r="C170" s="253" t="s">
        <v>981</v>
      </c>
      <c r="D170" s="2278"/>
      <c r="E170" s="2062"/>
      <c r="F170" s="2196"/>
      <c r="G170" s="2230"/>
      <c r="H170" s="1270"/>
      <c r="I170" s="492" t="s">
        <v>980</v>
      </c>
      <c r="J170" s="429"/>
      <c r="K170" s="1270"/>
      <c r="L170" s="114"/>
      <c r="M170" s="224"/>
      <c r="N170" s="217"/>
      <c r="O170" s="1396"/>
      <c r="P170" s="1396"/>
    </row>
    <row r="171" spans="1:16" s="1664" customFormat="1" ht="0.75" hidden="1" customHeight="1">
      <c r="A171" s="1512"/>
      <c r="B171" s="1512"/>
      <c r="C171" s="253" t="s">
        <v>988</v>
      </c>
      <c r="D171" s="2278"/>
      <c r="E171" s="2062"/>
      <c r="F171" s="2196"/>
      <c r="G171" s="285"/>
      <c r="H171" s="1270"/>
      <c r="I171" s="492"/>
      <c r="J171" s="429"/>
      <c r="K171" s="1270"/>
      <c r="L171" s="114"/>
      <c r="M171" s="224"/>
      <c r="N171" s="217"/>
      <c r="O171" s="1396"/>
      <c r="P171" s="1396"/>
    </row>
    <row r="172" spans="1:16" s="1664" customFormat="1" ht="18.75" hidden="1" customHeight="1">
      <c r="A172" s="1512" t="s">
        <v>159</v>
      </c>
      <c r="B172" s="1512" t="s">
        <v>160</v>
      </c>
      <c r="C172" s="253"/>
      <c r="D172" s="2278"/>
      <c r="E172" s="2062"/>
      <c r="F172" s="2196" t="str">
        <f>INDEX(PT_DIFFERENTIATION_VTAR,MATCH(A172,PT_DIFFERENTIATION_VTAR_ID,0))</f>
        <v>Тариф на транспортировку воды</v>
      </c>
      <c r="G172" s="2230" t="str">
        <f>INDEX(PT_DIFFERENTIATION_NTAR,MATCH(B172,PT_DIFFERENTIATION_NTAR_ID,0))</f>
        <v/>
      </c>
      <c r="H172" s="1594"/>
      <c r="I172" s="1478"/>
      <c r="J172" s="1508"/>
      <c r="K172" s="1510"/>
      <c r="L172" s="1594" t="s">
        <v>230</v>
      </c>
      <c r="M172" s="224"/>
      <c r="N172" s="217"/>
      <c r="O172" s="1396"/>
      <c r="P172" s="1396"/>
    </row>
    <row r="173" spans="1:16" s="1664" customFormat="1" ht="18.75" hidden="1" customHeight="1">
      <c r="A173" s="1512"/>
      <c r="B173" s="1512"/>
      <c r="C173" s="253" t="s">
        <v>981</v>
      </c>
      <c r="D173" s="2278"/>
      <c r="E173" s="2062"/>
      <c r="F173" s="2196"/>
      <c r="G173" s="2230"/>
      <c r="H173" s="1270"/>
      <c r="I173" s="492" t="s">
        <v>980</v>
      </c>
      <c r="J173" s="429"/>
      <c r="K173" s="1270"/>
      <c r="L173" s="114"/>
      <c r="M173" s="224"/>
      <c r="N173" s="217"/>
      <c r="O173" s="1396"/>
      <c r="P173" s="1396"/>
    </row>
    <row r="174" spans="1:16" s="1664" customFormat="1" ht="0.75" hidden="1" customHeight="1">
      <c r="A174" s="1512"/>
      <c r="B174" s="1512"/>
      <c r="C174" s="253" t="s">
        <v>988</v>
      </c>
      <c r="D174" s="2278"/>
      <c r="E174" s="2062"/>
      <c r="F174" s="2196"/>
      <c r="G174" s="285"/>
      <c r="H174" s="1270"/>
      <c r="I174" s="492"/>
      <c r="J174" s="429"/>
      <c r="K174" s="1270"/>
      <c r="L174" s="114"/>
      <c r="M174" s="224"/>
      <c r="N174" s="217"/>
      <c r="O174" s="1396"/>
      <c r="P174" s="1396"/>
    </row>
    <row r="175" spans="1:16" s="1664" customFormat="1" ht="18.75" hidden="1" customHeight="1">
      <c r="A175" s="1512" t="s">
        <v>164</v>
      </c>
      <c r="B175" s="1512" t="s">
        <v>165</v>
      </c>
      <c r="C175" s="253"/>
      <c r="D175" s="2278"/>
      <c r="E175" s="2062"/>
      <c r="F175" s="2196" t="str">
        <f>INDEX(PT_DIFFERENTIATION_VTAR,MATCH(A175,PT_DIFFERENTIATION_VTAR_ID,0))</f>
        <v>Тариф на подвоз воды</v>
      </c>
      <c r="G175" s="2230" t="str">
        <f>INDEX(PT_DIFFERENTIATION_NTAR,MATCH(B175,PT_DIFFERENTIATION_NTAR_ID,0))</f>
        <v/>
      </c>
      <c r="H175" s="1594"/>
      <c r="I175" s="1478"/>
      <c r="J175" s="1508"/>
      <c r="K175" s="1510"/>
      <c r="L175" s="1594" t="s">
        <v>230</v>
      </c>
      <c r="M175" s="224"/>
      <c r="N175" s="217"/>
      <c r="O175" s="1396"/>
      <c r="P175" s="1396"/>
    </row>
    <row r="176" spans="1:16" s="1664" customFormat="1" ht="18.75" hidden="1" customHeight="1">
      <c r="A176" s="1512"/>
      <c r="B176" s="1512"/>
      <c r="C176" s="253" t="s">
        <v>981</v>
      </c>
      <c r="D176" s="2278"/>
      <c r="E176" s="2062"/>
      <c r="F176" s="2196"/>
      <c r="G176" s="2230"/>
      <c r="H176" s="1270"/>
      <c r="I176" s="492" t="s">
        <v>980</v>
      </c>
      <c r="J176" s="429"/>
      <c r="K176" s="1270"/>
      <c r="L176" s="114"/>
      <c r="M176" s="224"/>
      <c r="N176" s="217"/>
      <c r="O176" s="1396"/>
      <c r="P176" s="1396"/>
    </row>
    <row r="177" spans="1:16" s="1664" customFormat="1" ht="0.75" hidden="1" customHeight="1">
      <c r="A177" s="1512"/>
      <c r="B177" s="1512"/>
      <c r="C177" s="253" t="s">
        <v>988</v>
      </c>
      <c r="D177" s="2278"/>
      <c r="E177" s="2062"/>
      <c r="F177" s="2196"/>
      <c r="G177" s="285"/>
      <c r="H177" s="1270"/>
      <c r="I177" s="492"/>
      <c r="J177" s="429"/>
      <c r="K177" s="1270"/>
      <c r="L177" s="114"/>
      <c r="M177" s="224"/>
      <c r="N177" s="217"/>
      <c r="O177" s="1396"/>
      <c r="P177" s="1396"/>
    </row>
    <row r="178" spans="1:16" s="1664" customFormat="1" ht="18.75" hidden="1" customHeight="1">
      <c r="A178" s="1512" t="s">
        <v>169</v>
      </c>
      <c r="B178" s="1512" t="s">
        <v>170</v>
      </c>
      <c r="C178" s="253"/>
      <c r="D178" s="2278"/>
      <c r="E178" s="2062"/>
      <c r="F178" s="219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30" t="str">
        <f>INDEX(PT_DIFFERENTIATION_NTAR,MATCH(B178,PT_DIFFERENTIATION_NTAR_ID,0))</f>
        <v/>
      </c>
      <c r="H178" s="1594"/>
      <c r="I178" s="1478"/>
      <c r="J178" s="1508"/>
      <c r="K178" s="1510"/>
      <c r="L178" s="1594" t="s">
        <v>230</v>
      </c>
      <c r="M178" s="224"/>
      <c r="N178" s="217"/>
      <c r="O178" s="1396"/>
      <c r="P178" s="1396"/>
    </row>
    <row r="179" spans="1:16" s="1664" customFormat="1" ht="18.75" hidden="1" customHeight="1">
      <c r="A179" s="1512"/>
      <c r="B179" s="1512"/>
      <c r="C179" s="253" t="s">
        <v>981</v>
      </c>
      <c r="D179" s="2278"/>
      <c r="E179" s="2062"/>
      <c r="F179" s="2196"/>
      <c r="G179" s="2230"/>
      <c r="H179" s="1270"/>
      <c r="I179" s="492" t="s">
        <v>980</v>
      </c>
      <c r="J179" s="429"/>
      <c r="K179" s="1270"/>
      <c r="L179" s="114"/>
      <c r="M179" s="224"/>
      <c r="N179" s="217"/>
      <c r="O179" s="1396"/>
      <c r="P179" s="1396"/>
    </row>
    <row r="180" spans="1:16" s="1664" customFormat="1" ht="0.75" hidden="1" customHeight="1">
      <c r="A180" s="1512"/>
      <c r="B180" s="1512"/>
      <c r="C180" s="253" t="s">
        <v>988</v>
      </c>
      <c r="D180" s="2278"/>
      <c r="E180" s="2062"/>
      <c r="F180" s="2196"/>
      <c r="G180" s="285"/>
      <c r="H180" s="1270"/>
      <c r="I180" s="492"/>
      <c r="J180" s="429"/>
      <c r="K180" s="1270"/>
      <c r="L180" s="114"/>
      <c r="M180" s="224"/>
      <c r="N180" s="217"/>
      <c r="O180" s="1396"/>
      <c r="P180" s="1396"/>
    </row>
    <row r="181" spans="1:16" s="1664" customFormat="1" ht="18.75" hidden="1" customHeight="1">
      <c r="A181" s="1512" t="s">
        <v>174</v>
      </c>
      <c r="B181" s="1512" t="s">
        <v>175</v>
      </c>
      <c r="C181" s="253"/>
      <c r="D181" s="2278"/>
      <c r="E181" s="2062"/>
      <c r="F181" s="2196" t="str">
        <f>INDEX(PT_DIFFERENTIATION_VTAR,MATCH(A181,PT_DIFFERENTIATION_VTAR_ID,0))</f>
        <v>Тариф на горячую воду (горячее водоснабжение)</v>
      </c>
      <c r="G181" s="2230" t="str">
        <f>INDEX(PT_DIFFERENTIATION_NTAR,MATCH(B181,PT_DIFFERENTIATION_NTAR_ID,0))</f>
        <v/>
      </c>
      <c r="H181" s="1594"/>
      <c r="I181" s="1478"/>
      <c r="J181" s="1508"/>
      <c r="K181" s="1510"/>
      <c r="L181" s="1594" t="s">
        <v>230</v>
      </c>
      <c r="M181" s="224"/>
      <c r="N181" s="217"/>
      <c r="O181" s="1396"/>
      <c r="P181" s="1396"/>
    </row>
    <row r="182" spans="1:16" s="1664" customFormat="1" ht="18.75" hidden="1" customHeight="1">
      <c r="A182" s="1512"/>
      <c r="B182" s="1512"/>
      <c r="C182" s="253" t="s">
        <v>981</v>
      </c>
      <c r="D182" s="2278"/>
      <c r="E182" s="2062"/>
      <c r="F182" s="2196"/>
      <c r="G182" s="2230"/>
      <c r="H182" s="1270"/>
      <c r="I182" s="492" t="s">
        <v>980</v>
      </c>
      <c r="J182" s="429"/>
      <c r="K182" s="1270"/>
      <c r="L182" s="114"/>
      <c r="M182" s="224"/>
      <c r="N182" s="217"/>
      <c r="O182" s="1396"/>
      <c r="P182" s="1396"/>
    </row>
    <row r="183" spans="1:16" s="1664" customFormat="1" ht="0.75" hidden="1" customHeight="1">
      <c r="A183" s="1512"/>
      <c r="B183" s="1512"/>
      <c r="C183" s="253" t="s">
        <v>988</v>
      </c>
      <c r="D183" s="2278"/>
      <c r="E183" s="2062"/>
      <c r="F183" s="2196"/>
      <c r="G183" s="285"/>
      <c r="H183" s="1270"/>
      <c r="I183" s="492"/>
      <c r="J183" s="429"/>
      <c r="K183" s="1270"/>
      <c r="L183" s="114"/>
      <c r="M183" s="224"/>
      <c r="N183" s="217"/>
      <c r="O183" s="1396"/>
      <c r="P183" s="1396"/>
    </row>
    <row r="184" spans="1:16" s="1664" customFormat="1" ht="18.75" hidden="1" customHeight="1">
      <c r="A184" s="1512" t="s">
        <v>179</v>
      </c>
      <c r="B184" s="1512" t="s">
        <v>180</v>
      </c>
      <c r="C184" s="253"/>
      <c r="D184" s="2278"/>
      <c r="E184" s="2062"/>
      <c r="F184" s="2196" t="str">
        <f>INDEX(PT_DIFFERENTIATION_VTAR,MATCH(A184,PT_DIFFERENTIATION_VTAR_ID,0))</f>
        <v>Тариф на транспортировку горячей воды</v>
      </c>
      <c r="G184" s="2230" t="str">
        <f>INDEX(PT_DIFFERENTIATION_NTAR,MATCH(B184,PT_DIFFERENTIATION_NTAR_ID,0))</f>
        <v/>
      </c>
      <c r="H184" s="1594"/>
      <c r="I184" s="1478"/>
      <c r="J184" s="1508"/>
      <c r="K184" s="1510"/>
      <c r="L184" s="1594" t="s">
        <v>230</v>
      </c>
      <c r="M184" s="224"/>
      <c r="N184" s="217"/>
      <c r="O184" s="1396"/>
      <c r="P184" s="1396"/>
    </row>
    <row r="185" spans="1:16" s="1664" customFormat="1" ht="18.75" hidden="1" customHeight="1">
      <c r="A185" s="1512"/>
      <c r="B185" s="1512"/>
      <c r="C185" s="253" t="s">
        <v>981</v>
      </c>
      <c r="D185" s="2278"/>
      <c r="E185" s="2062"/>
      <c r="F185" s="2196"/>
      <c r="G185" s="2230"/>
      <c r="H185" s="1270"/>
      <c r="I185" s="492" t="s">
        <v>980</v>
      </c>
      <c r="J185" s="429"/>
      <c r="K185" s="1270"/>
      <c r="L185" s="114"/>
      <c r="M185" s="224"/>
      <c r="N185" s="217"/>
      <c r="O185" s="1396"/>
      <c r="P185" s="1396"/>
    </row>
    <row r="186" spans="1:16" s="1664" customFormat="1" ht="0.75" hidden="1" customHeight="1">
      <c r="A186" s="1512"/>
      <c r="B186" s="1512"/>
      <c r="C186" s="253" t="s">
        <v>988</v>
      </c>
      <c r="D186" s="2278"/>
      <c r="E186" s="2062"/>
      <c r="F186" s="2196"/>
      <c r="G186" s="285"/>
      <c r="H186" s="1270"/>
      <c r="I186" s="492"/>
      <c r="J186" s="429"/>
      <c r="K186" s="1270"/>
      <c r="L186" s="114"/>
      <c r="M186" s="224"/>
      <c r="N186" s="217"/>
      <c r="O186" s="1396"/>
      <c r="P186" s="1396"/>
    </row>
    <row r="187" spans="1:16" s="1664" customFormat="1" ht="18.75" hidden="1" customHeight="1">
      <c r="A187" s="1512" t="s">
        <v>184</v>
      </c>
      <c r="B187" s="1512" t="s">
        <v>185</v>
      </c>
      <c r="C187" s="253"/>
      <c r="D187" s="2278"/>
      <c r="E187" s="2062"/>
      <c r="F187" s="2196"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30" t="str">
        <f>INDEX(PT_DIFFERENTIATION_NTAR,MATCH(B187,PT_DIFFERENTIATION_NTAR_ID,0))</f>
        <v/>
      </c>
      <c r="H187" s="1594"/>
      <c r="I187" s="1478"/>
      <c r="J187" s="1508"/>
      <c r="K187" s="1510"/>
      <c r="L187" s="1594" t="s">
        <v>230</v>
      </c>
      <c r="M187" s="224"/>
      <c r="N187" s="217"/>
      <c r="O187" s="1396"/>
      <c r="P187" s="1396"/>
    </row>
    <row r="188" spans="1:16" s="1664" customFormat="1" ht="18.75" hidden="1" customHeight="1">
      <c r="A188" s="1512"/>
      <c r="B188" s="1512"/>
      <c r="C188" s="253" t="s">
        <v>981</v>
      </c>
      <c r="D188" s="2278"/>
      <c r="E188" s="2062"/>
      <c r="F188" s="2196"/>
      <c r="G188" s="2230"/>
      <c r="H188" s="1270"/>
      <c r="I188" s="492" t="s">
        <v>980</v>
      </c>
      <c r="J188" s="429"/>
      <c r="K188" s="1270"/>
      <c r="L188" s="114"/>
      <c r="M188" s="224"/>
      <c r="N188" s="217"/>
      <c r="O188" s="1396"/>
      <c r="P188" s="1396"/>
    </row>
    <row r="189" spans="1:16" s="1664" customFormat="1" ht="0.75" hidden="1" customHeight="1">
      <c r="A189" s="1512"/>
      <c r="B189" s="1512"/>
      <c r="C189" s="253" t="s">
        <v>988</v>
      </c>
      <c r="D189" s="2278"/>
      <c r="E189" s="2062"/>
      <c r="F189" s="2196"/>
      <c r="G189" s="285"/>
      <c r="H189" s="1270"/>
      <c r="I189" s="492"/>
      <c r="J189" s="429"/>
      <c r="K189" s="1270"/>
      <c r="L189" s="114"/>
      <c r="M189" s="224"/>
      <c r="N189" s="217"/>
      <c r="O189" s="1396"/>
      <c r="P189" s="1396"/>
    </row>
    <row r="190" spans="1:16" s="1664" customFormat="1" ht="18.75" hidden="1" customHeight="1">
      <c r="A190" s="1512" t="s">
        <v>189</v>
      </c>
      <c r="B190" s="1512" t="s">
        <v>190</v>
      </c>
      <c r="C190" s="253"/>
      <c r="D190" s="2278"/>
      <c r="E190" s="2062"/>
      <c r="F190" s="2196" t="str">
        <f>INDEX(PT_DIFFERENTIATION_VTAR,MATCH(A190,PT_DIFFERENTIATION_VTAR_ID,0))</f>
        <v>Тариф на водоотведение</v>
      </c>
      <c r="G190" s="2230" t="str">
        <f>INDEX(PT_DIFFERENTIATION_NTAR,MATCH(B190,PT_DIFFERENTIATION_NTAR_ID,0))</f>
        <v/>
      </c>
      <c r="H190" s="1594"/>
      <c r="I190" s="1478"/>
      <c r="J190" s="1508"/>
      <c r="K190" s="1510"/>
      <c r="L190" s="1594" t="s">
        <v>230</v>
      </c>
      <c r="M190" s="224"/>
      <c r="N190" s="217"/>
      <c r="O190" s="1396"/>
      <c r="P190" s="1396"/>
    </row>
    <row r="191" spans="1:16" s="1664" customFormat="1" ht="18.75" hidden="1" customHeight="1">
      <c r="A191" s="1512"/>
      <c r="B191" s="1512"/>
      <c r="C191" s="253" t="s">
        <v>981</v>
      </c>
      <c r="D191" s="2278"/>
      <c r="E191" s="2062"/>
      <c r="F191" s="2196"/>
      <c r="G191" s="2230"/>
      <c r="H191" s="1270"/>
      <c r="I191" s="492" t="s">
        <v>980</v>
      </c>
      <c r="J191" s="429"/>
      <c r="K191" s="1270"/>
      <c r="L191" s="114"/>
      <c r="M191" s="224"/>
      <c r="N191" s="217"/>
      <c r="O191" s="1396"/>
      <c r="P191" s="1396"/>
    </row>
    <row r="192" spans="1:16" s="1664" customFormat="1" ht="0.75" hidden="1" customHeight="1">
      <c r="A192" s="1512"/>
      <c r="B192" s="1512"/>
      <c r="C192" s="253" t="s">
        <v>988</v>
      </c>
      <c r="D192" s="2278"/>
      <c r="E192" s="2062"/>
      <c r="F192" s="2196"/>
      <c r="G192" s="285"/>
      <c r="H192" s="1270"/>
      <c r="I192" s="492"/>
      <c r="J192" s="429"/>
      <c r="K192" s="1270"/>
      <c r="L192" s="114"/>
      <c r="M192" s="224"/>
      <c r="N192" s="217"/>
      <c r="O192" s="1396"/>
      <c r="P192" s="1396"/>
    </row>
    <row r="193" spans="1:16" s="1664" customFormat="1" ht="18.75" hidden="1" customHeight="1">
      <c r="A193" s="1512" t="s">
        <v>194</v>
      </c>
      <c r="B193" s="1512" t="s">
        <v>195</v>
      </c>
      <c r="C193" s="253"/>
      <c r="D193" s="2278"/>
      <c r="E193" s="2062"/>
      <c r="F193" s="2196" t="str">
        <f>INDEX(PT_DIFFERENTIATION_VTAR,MATCH(A193,PT_DIFFERENTIATION_VTAR_ID,0))</f>
        <v>Тариф на транспортировку сточных вод</v>
      </c>
      <c r="G193" s="2230" t="str">
        <f>INDEX(PT_DIFFERENTIATION_NTAR,MATCH(B193,PT_DIFFERENTIATION_NTAR_ID,0))</f>
        <v/>
      </c>
      <c r="H193" s="1594"/>
      <c r="I193" s="1478"/>
      <c r="J193" s="1508"/>
      <c r="K193" s="1510"/>
      <c r="L193" s="1594" t="s">
        <v>230</v>
      </c>
      <c r="M193" s="224"/>
      <c r="N193" s="217"/>
      <c r="O193" s="1396"/>
      <c r="P193" s="1396"/>
    </row>
    <row r="194" spans="1:16" s="1664" customFormat="1" ht="18.75" hidden="1" customHeight="1">
      <c r="A194" s="1512"/>
      <c r="B194" s="1512"/>
      <c r="C194" s="253" t="s">
        <v>981</v>
      </c>
      <c r="D194" s="2278"/>
      <c r="E194" s="2062"/>
      <c r="F194" s="2196"/>
      <c r="G194" s="2230"/>
      <c r="H194" s="1270"/>
      <c r="I194" s="492" t="s">
        <v>980</v>
      </c>
      <c r="J194" s="429"/>
      <c r="K194" s="1270"/>
      <c r="L194" s="114"/>
      <c r="M194" s="224"/>
      <c r="N194" s="217"/>
      <c r="O194" s="1396"/>
      <c r="P194" s="1396"/>
    </row>
    <row r="195" spans="1:16" s="1664" customFormat="1" ht="0.75" hidden="1" customHeight="1">
      <c r="A195" s="1512"/>
      <c r="B195" s="1512"/>
      <c r="C195" s="253" t="s">
        <v>988</v>
      </c>
      <c r="D195" s="2278"/>
      <c r="E195" s="2062"/>
      <c r="F195" s="2196"/>
      <c r="G195" s="285"/>
      <c r="H195" s="1270"/>
      <c r="I195" s="492"/>
      <c r="J195" s="429"/>
      <c r="K195" s="1270"/>
      <c r="L195" s="114"/>
      <c r="M195" s="224"/>
      <c r="N195" s="217"/>
      <c r="O195" s="1396"/>
      <c r="P195" s="1396"/>
    </row>
    <row r="196" spans="1:16" s="1664" customFormat="1" ht="18.75" hidden="1" customHeight="1">
      <c r="A196" s="1512" t="s">
        <v>199</v>
      </c>
      <c r="B196" s="1512" t="s">
        <v>200</v>
      </c>
      <c r="C196" s="253"/>
      <c r="D196" s="2278"/>
      <c r="E196" s="2062"/>
      <c r="F196" s="2196" t="str">
        <f>INDEX(PT_DIFFERENTIATION_VTAR,MATCH(A196,PT_DIFFERENTIATION_VTAR_ID,0))</f>
        <v>Тариф на подключение (технологическое присоединение) к централизованной системе водоотведения</v>
      </c>
      <c r="G196" s="2230" t="str">
        <f>INDEX(PT_DIFFERENTIATION_NTAR,MATCH(B196,PT_DIFFERENTIATION_NTAR_ID,0))</f>
        <v/>
      </c>
      <c r="H196" s="1594"/>
      <c r="I196" s="1478"/>
      <c r="J196" s="1508"/>
      <c r="K196" s="1510"/>
      <c r="L196" s="1594" t="s">
        <v>230</v>
      </c>
      <c r="M196" s="224"/>
      <c r="N196" s="217"/>
      <c r="O196" s="1396"/>
      <c r="P196" s="1396"/>
    </row>
    <row r="197" spans="1:16" s="1664" customFormat="1" ht="18.75" hidden="1" customHeight="1">
      <c r="A197" s="1512"/>
      <c r="B197" s="1512"/>
      <c r="C197" s="253" t="s">
        <v>981</v>
      </c>
      <c r="D197" s="2278"/>
      <c r="E197" s="2062"/>
      <c r="F197" s="2196"/>
      <c r="G197" s="2230"/>
      <c r="H197" s="1270"/>
      <c r="I197" s="492" t="s">
        <v>980</v>
      </c>
      <c r="J197" s="429"/>
      <c r="K197" s="1270"/>
      <c r="L197" s="114"/>
      <c r="M197" s="224"/>
      <c r="N197" s="217"/>
      <c r="O197" s="1396"/>
      <c r="P197" s="1396"/>
    </row>
    <row r="198" spans="1:16" s="1664" customFormat="1" ht="0.75" customHeight="1">
      <c r="A198" s="1512"/>
      <c r="B198" s="1512"/>
      <c r="C198" s="253" t="s">
        <v>988</v>
      </c>
      <c r="D198" s="2278"/>
      <c r="E198" s="2062"/>
      <c r="F198" s="2196"/>
      <c r="G198" s="285"/>
      <c r="H198" s="1270"/>
      <c r="I198" s="492"/>
      <c r="J198" s="429"/>
      <c r="K198" s="1270"/>
      <c r="L198" s="114"/>
      <c r="M198" s="224"/>
      <c r="N198" s="217"/>
      <c r="O198" s="1396"/>
      <c r="P198" s="1396"/>
    </row>
    <row r="199" spans="1:16" ht="26.25" customHeight="1">
      <c r="A199" s="1512"/>
      <c r="B199" s="1512"/>
      <c r="D199" s="261"/>
      <c r="E199" s="53" t="s">
        <v>45</v>
      </c>
      <c r="F199" s="227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72"/>
      <c r="H199" s="2272"/>
      <c r="I199" s="2272"/>
      <c r="J199" s="2272"/>
      <c r="K199" s="2272"/>
      <c r="L199" s="2272"/>
      <c r="M199" s="172"/>
      <c r="N199" s="217"/>
    </row>
    <row r="200" spans="1:16" s="1664" customFormat="1" ht="60.75" hidden="1" customHeight="1">
      <c r="A200" s="1512" t="s">
        <v>93</v>
      </c>
      <c r="B200" s="1512" t="s">
        <v>94</v>
      </c>
      <c r="C200" s="253"/>
      <c r="D200" s="2278"/>
      <c r="E200" s="2062"/>
      <c r="F200" s="219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30" t="str">
        <f>INDEX(PT_DIFFERENTIATION_NTAR,MATCH(B200,PT_DIFFERENTIATION_NTAR_ID,0))</f>
        <v/>
      </c>
      <c r="H200" s="1594"/>
      <c r="I200" s="1478"/>
      <c r="J200" s="1508"/>
      <c r="K200" s="1510"/>
      <c r="L200" s="1594" t="s">
        <v>230</v>
      </c>
      <c r="M200" s="20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17"/>
      <c r="O200" s="1396"/>
      <c r="P200" s="1396"/>
    </row>
    <row r="201" spans="1:16" s="1664" customFormat="1" ht="18.75" hidden="1" customHeight="1">
      <c r="A201" s="1512"/>
      <c r="B201" s="1512"/>
      <c r="C201" s="253" t="s">
        <v>981</v>
      </c>
      <c r="D201" s="2278"/>
      <c r="E201" s="2062"/>
      <c r="F201" s="2196"/>
      <c r="G201" s="2230"/>
      <c r="H201" s="1270"/>
      <c r="I201" s="492" t="s">
        <v>980</v>
      </c>
      <c r="J201" s="429"/>
      <c r="K201" s="1270"/>
      <c r="L201" s="114"/>
      <c r="M201" s="2023"/>
      <c r="N201" s="217"/>
      <c r="O201" s="1396"/>
      <c r="P201" s="1396"/>
    </row>
    <row r="202" spans="1:16" s="1664" customFormat="1" ht="0.75" hidden="1" customHeight="1">
      <c r="A202" s="1512"/>
      <c r="B202" s="1512"/>
      <c r="C202" s="253" t="s">
        <v>988</v>
      </c>
      <c r="D202" s="2278"/>
      <c r="E202" s="2062"/>
      <c r="F202" s="2196"/>
      <c r="G202" s="285"/>
      <c r="H202" s="1270"/>
      <c r="I202" s="492"/>
      <c r="J202" s="429"/>
      <c r="K202" s="1270"/>
      <c r="L202" s="114"/>
      <c r="M202" s="2023"/>
      <c r="N202" s="217"/>
      <c r="O202" s="1396"/>
      <c r="P202" s="1396"/>
    </row>
    <row r="203" spans="1:16" s="1664" customFormat="1" ht="45" hidden="1" customHeight="1">
      <c r="A203" s="1512" t="s">
        <v>99</v>
      </c>
      <c r="B203" s="1512" t="s">
        <v>100</v>
      </c>
      <c r="C203" s="253"/>
      <c r="D203" s="2278"/>
      <c r="E203" s="2062"/>
      <c r="F203" s="219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30" t="str">
        <f>INDEX(PT_DIFFERENTIATION_NTAR,MATCH(B203,PT_DIFFERENTIATION_NTAR_ID,0))</f>
        <v/>
      </c>
      <c r="H203" s="1594"/>
      <c r="I203" s="1478"/>
      <c r="J203" s="1508"/>
      <c r="K203" s="1510"/>
      <c r="L203" s="1594" t="s">
        <v>230</v>
      </c>
      <c r="M203" s="2024"/>
      <c r="N203" s="217"/>
      <c r="O203" s="1396"/>
      <c r="P203" s="1396"/>
    </row>
    <row r="204" spans="1:16" s="1664" customFormat="1" ht="18.75" hidden="1" customHeight="1">
      <c r="A204" s="1512"/>
      <c r="B204" s="1512"/>
      <c r="C204" s="253" t="s">
        <v>981</v>
      </c>
      <c r="D204" s="2278"/>
      <c r="E204" s="2062"/>
      <c r="F204" s="2196"/>
      <c r="G204" s="2230"/>
      <c r="H204" s="1270"/>
      <c r="I204" s="492" t="s">
        <v>980</v>
      </c>
      <c r="J204" s="429"/>
      <c r="K204" s="1270"/>
      <c r="L204" s="114"/>
      <c r="M204" s="1593"/>
      <c r="N204" s="217"/>
      <c r="O204" s="1396"/>
      <c r="P204" s="1396"/>
    </row>
    <row r="205" spans="1:16" s="1664" customFormat="1" ht="0.75" hidden="1" customHeight="1">
      <c r="A205" s="1512"/>
      <c r="B205" s="1512"/>
      <c r="C205" s="253" t="s">
        <v>988</v>
      </c>
      <c r="D205" s="2278"/>
      <c r="E205" s="2062"/>
      <c r="F205" s="2196"/>
      <c r="G205" s="285"/>
      <c r="H205" s="1270"/>
      <c r="I205" s="492"/>
      <c r="J205" s="429"/>
      <c r="K205" s="1270"/>
      <c r="L205" s="114"/>
      <c r="M205" s="224"/>
      <c r="N205" s="217"/>
      <c r="O205" s="1396"/>
      <c r="P205" s="1396"/>
    </row>
    <row r="206" spans="1:16" s="1664" customFormat="1" ht="45" hidden="1" customHeight="1">
      <c r="A206" s="1512" t="s">
        <v>105</v>
      </c>
      <c r="B206" s="1512" t="s">
        <v>106</v>
      </c>
      <c r="C206" s="253"/>
      <c r="D206" s="2278"/>
      <c r="E206" s="2062"/>
      <c r="F206" s="219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30" t="str">
        <f>INDEX(PT_DIFFERENTIATION_NTAR,MATCH(B206,PT_DIFFERENTIATION_NTAR_ID,0))</f>
        <v/>
      </c>
      <c r="H206" s="1594"/>
      <c r="I206" s="1478"/>
      <c r="J206" s="1508"/>
      <c r="K206" s="1510"/>
      <c r="L206" s="1594" t="s">
        <v>230</v>
      </c>
      <c r="M206" s="224"/>
      <c r="N206" s="217"/>
      <c r="O206" s="1396"/>
      <c r="P206" s="1396"/>
    </row>
    <row r="207" spans="1:16" s="1664" customFormat="1" ht="18.75" hidden="1" customHeight="1">
      <c r="A207" s="1512"/>
      <c r="B207" s="1512"/>
      <c r="C207" s="253" t="s">
        <v>981</v>
      </c>
      <c r="D207" s="2278"/>
      <c r="E207" s="2062"/>
      <c r="F207" s="2196"/>
      <c r="G207" s="2230"/>
      <c r="H207" s="1270"/>
      <c r="I207" s="492" t="s">
        <v>980</v>
      </c>
      <c r="J207" s="429"/>
      <c r="K207" s="1270"/>
      <c r="L207" s="114"/>
      <c r="M207" s="224"/>
      <c r="N207" s="217"/>
      <c r="O207" s="1396"/>
      <c r="P207" s="1396"/>
    </row>
    <row r="208" spans="1:16" s="1664" customFormat="1" ht="0.75" hidden="1" customHeight="1">
      <c r="A208" s="1512"/>
      <c r="B208" s="1512"/>
      <c r="C208" s="253" t="s">
        <v>988</v>
      </c>
      <c r="D208" s="2278"/>
      <c r="E208" s="2062"/>
      <c r="F208" s="2196"/>
      <c r="G208" s="285"/>
      <c r="H208" s="1270"/>
      <c r="I208" s="492"/>
      <c r="J208" s="429"/>
      <c r="K208" s="1270"/>
      <c r="L208" s="114"/>
      <c r="M208" s="224"/>
      <c r="N208" s="217"/>
      <c r="O208" s="1396"/>
      <c r="P208" s="1396"/>
    </row>
    <row r="209" spans="1:16" s="1664" customFormat="1" ht="45" hidden="1" customHeight="1">
      <c r="A209" s="1512" t="s">
        <v>111</v>
      </c>
      <c r="B209" s="1512" t="s">
        <v>112</v>
      </c>
      <c r="C209" s="253"/>
      <c r="D209" s="2278"/>
      <c r="E209" s="2062"/>
      <c r="F209" s="219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30" t="str">
        <f>INDEX(PT_DIFFERENTIATION_NTAR,MATCH(B209,PT_DIFFERENTIATION_NTAR_ID,0))</f>
        <v/>
      </c>
      <c r="H209" s="1594"/>
      <c r="I209" s="1478"/>
      <c r="J209" s="1508"/>
      <c r="K209" s="1510"/>
      <c r="L209" s="1594" t="s">
        <v>230</v>
      </c>
      <c r="M209" s="224"/>
      <c r="N209" s="217"/>
      <c r="O209" s="1396"/>
      <c r="P209" s="1396"/>
    </row>
    <row r="210" spans="1:16" s="1664" customFormat="1" ht="18.75" hidden="1" customHeight="1">
      <c r="A210" s="1512"/>
      <c r="B210" s="1512"/>
      <c r="C210" s="253" t="s">
        <v>981</v>
      </c>
      <c r="D210" s="2278"/>
      <c r="E210" s="2062"/>
      <c r="F210" s="2196"/>
      <c r="G210" s="2230"/>
      <c r="H210" s="1270"/>
      <c r="I210" s="492" t="s">
        <v>980</v>
      </c>
      <c r="J210" s="429"/>
      <c r="K210" s="1270"/>
      <c r="L210" s="114"/>
      <c r="M210" s="224"/>
      <c r="N210" s="217"/>
      <c r="O210" s="1396"/>
      <c r="P210" s="1396"/>
    </row>
    <row r="211" spans="1:16" s="1664" customFormat="1" ht="0.75" hidden="1" customHeight="1">
      <c r="A211" s="1512"/>
      <c r="B211" s="1512"/>
      <c r="C211" s="253" t="s">
        <v>988</v>
      </c>
      <c r="D211" s="2278"/>
      <c r="E211" s="2062"/>
      <c r="F211" s="2196"/>
      <c r="G211" s="285"/>
      <c r="H211" s="1270"/>
      <c r="I211" s="492"/>
      <c r="J211" s="429"/>
      <c r="K211" s="1270"/>
      <c r="L211" s="114"/>
      <c r="M211" s="224"/>
      <c r="N211" s="217"/>
      <c r="O211" s="1396"/>
      <c r="P211" s="1396"/>
    </row>
    <row r="212" spans="1:16" s="1664" customFormat="1" ht="18.75" hidden="1" customHeight="1">
      <c r="A212" s="1512" t="s">
        <v>117</v>
      </c>
      <c r="B212" s="1512" t="s">
        <v>118</v>
      </c>
      <c r="C212" s="253"/>
      <c r="D212" s="2278"/>
      <c r="E212" s="2062"/>
      <c r="F212" s="2196" t="str">
        <f>INDEX(PT_DIFFERENTIATION_VTAR,MATCH(A212,PT_DIFFERENTIATION_VTAR_ID,0))</f>
        <v>Тарифы на услуги по передаче тепловой энергии</v>
      </c>
      <c r="G212" s="2230" t="str">
        <f>INDEX(PT_DIFFERENTIATION_NTAR,MATCH(B212,PT_DIFFERENTIATION_NTAR_ID,0))</f>
        <v/>
      </c>
      <c r="H212" s="1594"/>
      <c r="I212" s="1478"/>
      <c r="J212" s="1508"/>
      <c r="K212" s="1510"/>
      <c r="L212" s="1594" t="s">
        <v>230</v>
      </c>
      <c r="M212" s="224"/>
      <c r="N212" s="217"/>
      <c r="O212" s="1396"/>
      <c r="P212" s="1396"/>
    </row>
    <row r="213" spans="1:16" s="1664" customFormat="1" ht="18.75" hidden="1" customHeight="1">
      <c r="A213" s="1512"/>
      <c r="B213" s="1512"/>
      <c r="C213" s="253" t="s">
        <v>981</v>
      </c>
      <c r="D213" s="2278"/>
      <c r="E213" s="2062"/>
      <c r="F213" s="2196"/>
      <c r="G213" s="2230"/>
      <c r="H213" s="1270"/>
      <c r="I213" s="492" t="s">
        <v>980</v>
      </c>
      <c r="J213" s="429"/>
      <c r="K213" s="1270"/>
      <c r="L213" s="114"/>
      <c r="M213" s="224"/>
      <c r="N213" s="217"/>
      <c r="O213" s="1396"/>
      <c r="P213" s="1396"/>
    </row>
    <row r="214" spans="1:16" s="1664" customFormat="1" ht="0.75" hidden="1" customHeight="1">
      <c r="A214" s="1512"/>
      <c r="B214" s="1512"/>
      <c r="C214" s="253" t="s">
        <v>988</v>
      </c>
      <c r="D214" s="2278"/>
      <c r="E214" s="2062"/>
      <c r="F214" s="2196"/>
      <c r="G214" s="285"/>
      <c r="H214" s="1270"/>
      <c r="I214" s="492"/>
      <c r="J214" s="429"/>
      <c r="K214" s="1270"/>
      <c r="L214" s="114"/>
      <c r="M214" s="224"/>
      <c r="N214" s="217"/>
      <c r="O214" s="1396"/>
      <c r="P214" s="1396"/>
    </row>
    <row r="215" spans="1:16" s="1664" customFormat="1" ht="18.75" hidden="1" customHeight="1">
      <c r="A215" s="1512" t="s">
        <v>123</v>
      </c>
      <c r="B215" s="1512" t="s">
        <v>124</v>
      </c>
      <c r="C215" s="253"/>
      <c r="D215" s="2278"/>
      <c r="E215" s="2062"/>
      <c r="F215" s="2196" t="str">
        <f>INDEX(PT_DIFFERENTIATION_VTAR,MATCH(A215,PT_DIFFERENTIATION_VTAR_ID,0))</f>
        <v>Тарифы на услуги по передаче теплоносителя</v>
      </c>
      <c r="G215" s="2230" t="str">
        <f>INDEX(PT_DIFFERENTIATION_NTAR,MATCH(B215,PT_DIFFERENTIATION_NTAR_ID,0))</f>
        <v/>
      </c>
      <c r="H215" s="1594"/>
      <c r="I215" s="1478"/>
      <c r="J215" s="1508"/>
      <c r="K215" s="1510"/>
      <c r="L215" s="1594" t="s">
        <v>230</v>
      </c>
      <c r="M215" s="224"/>
      <c r="N215" s="217"/>
      <c r="O215" s="1396"/>
      <c r="P215" s="1396"/>
    </row>
    <row r="216" spans="1:16" s="1664" customFormat="1" ht="18.75" hidden="1" customHeight="1">
      <c r="A216" s="1512"/>
      <c r="B216" s="1512"/>
      <c r="C216" s="253" t="s">
        <v>981</v>
      </c>
      <c r="D216" s="2278"/>
      <c r="E216" s="2062"/>
      <c r="F216" s="2196"/>
      <c r="G216" s="2230"/>
      <c r="H216" s="1270"/>
      <c r="I216" s="492" t="s">
        <v>980</v>
      </c>
      <c r="J216" s="429"/>
      <c r="K216" s="1270"/>
      <c r="L216" s="114"/>
      <c r="M216" s="224"/>
      <c r="N216" s="217"/>
      <c r="O216" s="1396"/>
      <c r="P216" s="1396"/>
    </row>
    <row r="217" spans="1:16" s="1664" customFormat="1" ht="0.75" hidden="1" customHeight="1">
      <c r="A217" s="1512"/>
      <c r="B217" s="1512"/>
      <c r="C217" s="253" t="s">
        <v>988</v>
      </c>
      <c r="D217" s="2278"/>
      <c r="E217" s="2062"/>
      <c r="F217" s="2196"/>
      <c r="G217" s="285"/>
      <c r="H217" s="1270"/>
      <c r="I217" s="492"/>
      <c r="J217" s="429"/>
      <c r="K217" s="1270"/>
      <c r="L217" s="114"/>
      <c r="M217" s="224"/>
      <c r="N217" s="217"/>
      <c r="O217" s="1396"/>
      <c r="P217" s="1396"/>
    </row>
    <row r="218" spans="1:16" s="1664" customFormat="1" ht="18.75" hidden="1" customHeight="1">
      <c r="A218" s="1512" t="s">
        <v>129</v>
      </c>
      <c r="B218" s="1512" t="s">
        <v>130</v>
      </c>
      <c r="C218" s="253"/>
      <c r="D218" s="2278"/>
      <c r="E218" s="2062"/>
      <c r="F218" s="219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30" t="str">
        <f>INDEX(PT_DIFFERENTIATION_NTAR,MATCH(B218,PT_DIFFERENTIATION_NTAR_ID,0))</f>
        <v/>
      </c>
      <c r="H218" s="1594"/>
      <c r="I218" s="1478"/>
      <c r="J218" s="1508"/>
      <c r="K218" s="1510"/>
      <c r="L218" s="1594" t="s">
        <v>230</v>
      </c>
      <c r="M218" s="224"/>
      <c r="N218" s="217"/>
      <c r="O218" s="1396"/>
      <c r="P218" s="1396"/>
    </row>
    <row r="219" spans="1:16" s="1664" customFormat="1" ht="18.75" hidden="1" customHeight="1">
      <c r="A219" s="1512"/>
      <c r="B219" s="1512"/>
      <c r="C219" s="253" t="s">
        <v>981</v>
      </c>
      <c r="D219" s="2278"/>
      <c r="E219" s="2062"/>
      <c r="F219" s="2196"/>
      <c r="G219" s="2230"/>
      <c r="H219" s="1270"/>
      <c r="I219" s="492" t="s">
        <v>980</v>
      </c>
      <c r="J219" s="429"/>
      <c r="K219" s="1270"/>
      <c r="L219" s="114"/>
      <c r="M219" s="224"/>
      <c r="N219" s="217"/>
      <c r="O219" s="1396"/>
      <c r="P219" s="1396"/>
    </row>
    <row r="220" spans="1:16" s="1664" customFormat="1" ht="0.75" hidden="1" customHeight="1">
      <c r="A220" s="1512"/>
      <c r="B220" s="1512"/>
      <c r="C220" s="253" t="s">
        <v>988</v>
      </c>
      <c r="D220" s="2278"/>
      <c r="E220" s="2062"/>
      <c r="F220" s="2196"/>
      <c r="G220" s="285"/>
      <c r="H220" s="1270"/>
      <c r="I220" s="492"/>
      <c r="J220" s="429"/>
      <c r="K220" s="1270"/>
      <c r="L220" s="114"/>
      <c r="M220" s="224"/>
      <c r="N220" s="217"/>
      <c r="O220" s="1396"/>
      <c r="P220" s="1396"/>
    </row>
    <row r="221" spans="1:16" s="1664" customFormat="1" ht="18.75" hidden="1" customHeight="1">
      <c r="A221" s="1512" t="s">
        <v>135</v>
      </c>
      <c r="B221" s="1512" t="s">
        <v>136</v>
      </c>
      <c r="C221" s="253"/>
      <c r="D221" s="2278"/>
      <c r="E221" s="2062"/>
      <c r="F221" s="2196" t="str">
        <f>INDEX(PT_DIFFERENTIATION_VTAR,MATCH(A221,PT_DIFFERENTIATION_VTAR_ID,0))</f>
        <v>Плата за подключение (технологическое присоединение) к системе теплоснабжения</v>
      </c>
      <c r="G221" s="2230" t="str">
        <f>INDEX(PT_DIFFERENTIATION_NTAR,MATCH(B221,PT_DIFFERENTIATION_NTAR_ID,0))</f>
        <v/>
      </c>
      <c r="H221" s="1594"/>
      <c r="I221" s="1478"/>
      <c r="J221" s="1508"/>
      <c r="K221" s="1510"/>
      <c r="L221" s="1594" t="s">
        <v>230</v>
      </c>
      <c r="M221" s="224"/>
      <c r="N221" s="217"/>
      <c r="O221" s="1396"/>
      <c r="P221" s="1396"/>
    </row>
    <row r="222" spans="1:16" s="1664" customFormat="1" ht="18.75" hidden="1" customHeight="1">
      <c r="A222" s="1512"/>
      <c r="B222" s="1512"/>
      <c r="C222" s="253" t="s">
        <v>981</v>
      </c>
      <c r="D222" s="2278"/>
      <c r="E222" s="2062"/>
      <c r="F222" s="2196"/>
      <c r="G222" s="2230"/>
      <c r="H222" s="1270"/>
      <c r="I222" s="492" t="s">
        <v>980</v>
      </c>
      <c r="J222" s="429"/>
      <c r="K222" s="1270"/>
      <c r="L222" s="114"/>
      <c r="M222" s="224"/>
      <c r="N222" s="217"/>
      <c r="O222" s="1396"/>
      <c r="P222" s="1396"/>
    </row>
    <row r="223" spans="1:16" s="1664" customFormat="1" ht="0.75" hidden="1" customHeight="1">
      <c r="A223" s="1512"/>
      <c r="B223" s="1512"/>
      <c r="C223" s="253" t="s">
        <v>988</v>
      </c>
      <c r="D223" s="2278"/>
      <c r="E223" s="2062"/>
      <c r="F223" s="2196"/>
      <c r="G223" s="285"/>
      <c r="H223" s="1270"/>
      <c r="I223" s="492"/>
      <c r="J223" s="429"/>
      <c r="K223" s="1270"/>
      <c r="L223" s="114"/>
      <c r="M223" s="224"/>
      <c r="N223" s="217"/>
      <c r="O223" s="1396"/>
      <c r="P223" s="1396"/>
    </row>
    <row r="224" spans="1:16" s="1664" customFormat="1" ht="18.75" hidden="1" customHeight="1">
      <c r="A224" s="1512" t="s">
        <v>149</v>
      </c>
      <c r="B224" s="1512" t="s">
        <v>150</v>
      </c>
      <c r="C224" s="253"/>
      <c r="D224" s="2278"/>
      <c r="E224" s="2062"/>
      <c r="F224" s="2196" t="str">
        <f>INDEX(PT_DIFFERENTIATION_VTAR,MATCH(A224,PT_DIFFERENTIATION_VTAR_ID,0))</f>
        <v>Тариф на питьевую воду (питьевое водоснабжение)</v>
      </c>
      <c r="G224" s="2230" t="str">
        <f>INDEX(PT_DIFFERENTIATION_NTAR,MATCH(B224,PT_DIFFERENTIATION_NTAR_ID,0))</f>
        <v/>
      </c>
      <c r="H224" s="1594"/>
      <c r="I224" s="1478"/>
      <c r="J224" s="1508"/>
      <c r="K224" s="1510"/>
      <c r="L224" s="1594" t="s">
        <v>230</v>
      </c>
      <c r="M224" s="224"/>
      <c r="N224" s="217"/>
      <c r="O224" s="1396"/>
      <c r="P224" s="1396"/>
    </row>
    <row r="225" spans="1:16" s="1664" customFormat="1" ht="18.75" hidden="1" customHeight="1">
      <c r="A225" s="1512"/>
      <c r="B225" s="1512"/>
      <c r="C225" s="253" t="s">
        <v>981</v>
      </c>
      <c r="D225" s="2278"/>
      <c r="E225" s="2062"/>
      <c r="F225" s="2196"/>
      <c r="G225" s="2230"/>
      <c r="H225" s="1270"/>
      <c r="I225" s="492" t="s">
        <v>980</v>
      </c>
      <c r="J225" s="429"/>
      <c r="K225" s="1270"/>
      <c r="L225" s="114"/>
      <c r="M225" s="224"/>
      <c r="N225" s="217"/>
      <c r="O225" s="1396"/>
      <c r="P225" s="1396"/>
    </row>
    <row r="226" spans="1:16" s="1664" customFormat="1" ht="0.75" hidden="1" customHeight="1">
      <c r="A226" s="1512"/>
      <c r="B226" s="1512"/>
      <c r="C226" s="253" t="s">
        <v>988</v>
      </c>
      <c r="D226" s="2278"/>
      <c r="E226" s="2062"/>
      <c r="F226" s="2196"/>
      <c r="G226" s="285"/>
      <c r="H226" s="1270"/>
      <c r="I226" s="492"/>
      <c r="J226" s="429"/>
      <c r="K226" s="1270"/>
      <c r="L226" s="114"/>
      <c r="M226" s="224"/>
      <c r="N226" s="217"/>
      <c r="O226" s="1396"/>
      <c r="P226" s="1396"/>
    </row>
    <row r="227" spans="1:16" s="1664" customFormat="1" ht="18.75" hidden="1" customHeight="1">
      <c r="A227" s="1512" t="s">
        <v>154</v>
      </c>
      <c r="B227" s="1512" t="s">
        <v>155</v>
      </c>
      <c r="C227" s="253"/>
      <c r="D227" s="2278"/>
      <c r="E227" s="2062"/>
      <c r="F227" s="2196" t="str">
        <f>INDEX(PT_DIFFERENTIATION_VTAR,MATCH(A227,PT_DIFFERENTIATION_VTAR_ID,0))</f>
        <v>Тариф на техническую воду</v>
      </c>
      <c r="G227" s="2230" t="str">
        <f>INDEX(PT_DIFFERENTIATION_NTAR,MATCH(B227,PT_DIFFERENTIATION_NTAR_ID,0))</f>
        <v/>
      </c>
      <c r="H227" s="1594"/>
      <c r="I227" s="1478"/>
      <c r="J227" s="1508"/>
      <c r="K227" s="1510"/>
      <c r="L227" s="1594" t="s">
        <v>230</v>
      </c>
      <c r="M227" s="224"/>
      <c r="N227" s="217"/>
      <c r="O227" s="1396"/>
      <c r="P227" s="1396"/>
    </row>
    <row r="228" spans="1:16" s="1664" customFormat="1" ht="18.75" hidden="1" customHeight="1">
      <c r="A228" s="1512"/>
      <c r="B228" s="1512"/>
      <c r="C228" s="253" t="s">
        <v>981</v>
      </c>
      <c r="D228" s="2278"/>
      <c r="E228" s="2062"/>
      <c r="F228" s="2196"/>
      <c r="G228" s="2230"/>
      <c r="H228" s="1270"/>
      <c r="I228" s="492" t="s">
        <v>980</v>
      </c>
      <c r="J228" s="429"/>
      <c r="K228" s="1270"/>
      <c r="L228" s="114"/>
      <c r="M228" s="224"/>
      <c r="N228" s="217"/>
      <c r="O228" s="1396"/>
      <c r="P228" s="1396"/>
    </row>
    <row r="229" spans="1:16" s="1664" customFormat="1" ht="0.75" hidden="1" customHeight="1">
      <c r="A229" s="1512"/>
      <c r="B229" s="1512"/>
      <c r="C229" s="253" t="s">
        <v>988</v>
      </c>
      <c r="D229" s="2278"/>
      <c r="E229" s="2062"/>
      <c r="F229" s="2196"/>
      <c r="G229" s="285"/>
      <c r="H229" s="1270"/>
      <c r="I229" s="492"/>
      <c r="J229" s="429"/>
      <c r="K229" s="1270"/>
      <c r="L229" s="114"/>
      <c r="M229" s="224"/>
      <c r="N229" s="217"/>
      <c r="O229" s="1396"/>
      <c r="P229" s="1396"/>
    </row>
    <row r="230" spans="1:16" s="1664" customFormat="1" ht="18.75" hidden="1" customHeight="1">
      <c r="A230" s="1512" t="s">
        <v>159</v>
      </c>
      <c r="B230" s="1512" t="s">
        <v>160</v>
      </c>
      <c r="C230" s="253"/>
      <c r="D230" s="2278"/>
      <c r="E230" s="2062"/>
      <c r="F230" s="2196" t="str">
        <f>INDEX(PT_DIFFERENTIATION_VTAR,MATCH(A230,PT_DIFFERENTIATION_VTAR_ID,0))</f>
        <v>Тариф на транспортировку воды</v>
      </c>
      <c r="G230" s="2230" t="str">
        <f>INDEX(PT_DIFFERENTIATION_NTAR,MATCH(B230,PT_DIFFERENTIATION_NTAR_ID,0))</f>
        <v/>
      </c>
      <c r="H230" s="1594"/>
      <c r="I230" s="1478"/>
      <c r="J230" s="1508"/>
      <c r="K230" s="1510"/>
      <c r="L230" s="1594" t="s">
        <v>230</v>
      </c>
      <c r="M230" s="224"/>
      <c r="N230" s="217"/>
      <c r="O230" s="1396"/>
      <c r="P230" s="1396"/>
    </row>
    <row r="231" spans="1:16" s="1664" customFormat="1" ht="18.75" hidden="1" customHeight="1">
      <c r="A231" s="1512"/>
      <c r="B231" s="1512"/>
      <c r="C231" s="253" t="s">
        <v>981</v>
      </c>
      <c r="D231" s="2278"/>
      <c r="E231" s="2062"/>
      <c r="F231" s="2196"/>
      <c r="G231" s="2230"/>
      <c r="H231" s="1270"/>
      <c r="I231" s="492" t="s">
        <v>980</v>
      </c>
      <c r="J231" s="429"/>
      <c r="K231" s="1270"/>
      <c r="L231" s="114"/>
      <c r="M231" s="224"/>
      <c r="N231" s="217"/>
      <c r="O231" s="1396"/>
      <c r="P231" s="1396"/>
    </row>
    <row r="232" spans="1:16" s="1664" customFormat="1" ht="0.75" hidden="1" customHeight="1">
      <c r="A232" s="1512"/>
      <c r="B232" s="1512"/>
      <c r="C232" s="253" t="s">
        <v>988</v>
      </c>
      <c r="D232" s="2278"/>
      <c r="E232" s="2062"/>
      <c r="F232" s="2196"/>
      <c r="G232" s="285"/>
      <c r="H232" s="1270"/>
      <c r="I232" s="492"/>
      <c r="J232" s="429"/>
      <c r="K232" s="1270"/>
      <c r="L232" s="114"/>
      <c r="M232" s="224"/>
      <c r="N232" s="217"/>
      <c r="O232" s="1396"/>
      <c r="P232" s="1396"/>
    </row>
    <row r="233" spans="1:16" s="1664" customFormat="1" ht="18.75" hidden="1" customHeight="1">
      <c r="A233" s="1512" t="s">
        <v>164</v>
      </c>
      <c r="B233" s="1512" t="s">
        <v>165</v>
      </c>
      <c r="C233" s="253"/>
      <c r="D233" s="2278"/>
      <c r="E233" s="2062"/>
      <c r="F233" s="2196" t="str">
        <f>INDEX(PT_DIFFERENTIATION_VTAR,MATCH(A233,PT_DIFFERENTIATION_VTAR_ID,0))</f>
        <v>Тариф на подвоз воды</v>
      </c>
      <c r="G233" s="2230" t="str">
        <f>INDEX(PT_DIFFERENTIATION_NTAR,MATCH(B233,PT_DIFFERENTIATION_NTAR_ID,0))</f>
        <v/>
      </c>
      <c r="H233" s="1594"/>
      <c r="I233" s="1478"/>
      <c r="J233" s="1508"/>
      <c r="K233" s="1510"/>
      <c r="L233" s="1594" t="s">
        <v>230</v>
      </c>
      <c r="M233" s="224"/>
      <c r="N233" s="217"/>
      <c r="O233" s="1396"/>
      <c r="P233" s="1396"/>
    </row>
    <row r="234" spans="1:16" s="1664" customFormat="1" ht="18.75" hidden="1" customHeight="1">
      <c r="A234" s="1512"/>
      <c r="B234" s="1512"/>
      <c r="C234" s="253" t="s">
        <v>981</v>
      </c>
      <c r="D234" s="2278"/>
      <c r="E234" s="2062"/>
      <c r="F234" s="2196"/>
      <c r="G234" s="2230"/>
      <c r="H234" s="1270"/>
      <c r="I234" s="492" t="s">
        <v>980</v>
      </c>
      <c r="J234" s="429"/>
      <c r="K234" s="1270"/>
      <c r="L234" s="114"/>
      <c r="M234" s="224"/>
      <c r="N234" s="217"/>
      <c r="O234" s="1396"/>
      <c r="P234" s="1396"/>
    </row>
    <row r="235" spans="1:16" s="1664" customFormat="1" ht="0.75" hidden="1" customHeight="1">
      <c r="A235" s="1512"/>
      <c r="B235" s="1512"/>
      <c r="C235" s="253" t="s">
        <v>988</v>
      </c>
      <c r="D235" s="2278"/>
      <c r="E235" s="2062"/>
      <c r="F235" s="2196"/>
      <c r="G235" s="285"/>
      <c r="H235" s="1270"/>
      <c r="I235" s="492"/>
      <c r="J235" s="429"/>
      <c r="K235" s="1270"/>
      <c r="L235" s="114"/>
      <c r="M235" s="224"/>
      <c r="N235" s="217"/>
      <c r="O235" s="1396"/>
      <c r="P235" s="1396"/>
    </row>
    <row r="236" spans="1:16" s="1664" customFormat="1" ht="18.75" hidden="1" customHeight="1">
      <c r="A236" s="1512" t="s">
        <v>169</v>
      </c>
      <c r="B236" s="1512" t="s">
        <v>170</v>
      </c>
      <c r="C236" s="253"/>
      <c r="D236" s="2278"/>
      <c r="E236" s="2062"/>
      <c r="F236" s="219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30" t="str">
        <f>INDEX(PT_DIFFERENTIATION_NTAR,MATCH(B236,PT_DIFFERENTIATION_NTAR_ID,0))</f>
        <v/>
      </c>
      <c r="H236" s="1594"/>
      <c r="I236" s="1478"/>
      <c r="J236" s="1508"/>
      <c r="K236" s="1510"/>
      <c r="L236" s="1594" t="s">
        <v>230</v>
      </c>
      <c r="M236" s="224"/>
      <c r="N236" s="217"/>
      <c r="O236" s="1396"/>
      <c r="P236" s="1396"/>
    </row>
    <row r="237" spans="1:16" s="1664" customFormat="1" ht="18.75" hidden="1" customHeight="1">
      <c r="A237" s="1512"/>
      <c r="B237" s="1512"/>
      <c r="C237" s="253" t="s">
        <v>981</v>
      </c>
      <c r="D237" s="2278"/>
      <c r="E237" s="2062"/>
      <c r="F237" s="2196"/>
      <c r="G237" s="2230"/>
      <c r="H237" s="1270"/>
      <c r="I237" s="492" t="s">
        <v>980</v>
      </c>
      <c r="J237" s="429"/>
      <c r="K237" s="1270"/>
      <c r="L237" s="114"/>
      <c r="M237" s="224"/>
      <c r="N237" s="217"/>
      <c r="O237" s="1396"/>
      <c r="P237" s="1396"/>
    </row>
    <row r="238" spans="1:16" s="1664" customFormat="1" ht="0.75" hidden="1" customHeight="1">
      <c r="A238" s="1512"/>
      <c r="B238" s="1512"/>
      <c r="C238" s="253" t="s">
        <v>988</v>
      </c>
      <c r="D238" s="2278"/>
      <c r="E238" s="2062"/>
      <c r="F238" s="2196"/>
      <c r="G238" s="285"/>
      <c r="H238" s="1270"/>
      <c r="I238" s="492"/>
      <c r="J238" s="429"/>
      <c r="K238" s="1270"/>
      <c r="L238" s="114"/>
      <c r="M238" s="224"/>
      <c r="N238" s="217"/>
      <c r="O238" s="1396"/>
      <c r="P238" s="1396"/>
    </row>
    <row r="239" spans="1:16" s="1664" customFormat="1" ht="18.75" hidden="1" customHeight="1">
      <c r="A239" s="1512" t="s">
        <v>174</v>
      </c>
      <c r="B239" s="1512" t="s">
        <v>175</v>
      </c>
      <c r="C239" s="253"/>
      <c r="D239" s="2278"/>
      <c r="E239" s="2062"/>
      <c r="F239" s="2196" t="str">
        <f>INDEX(PT_DIFFERENTIATION_VTAR,MATCH(A239,PT_DIFFERENTIATION_VTAR_ID,0))</f>
        <v>Тариф на горячую воду (горячее водоснабжение)</v>
      </c>
      <c r="G239" s="2230" t="str">
        <f>INDEX(PT_DIFFERENTIATION_NTAR,MATCH(B239,PT_DIFFERENTIATION_NTAR_ID,0))</f>
        <v/>
      </c>
      <c r="H239" s="1594"/>
      <c r="I239" s="1478"/>
      <c r="J239" s="1508"/>
      <c r="K239" s="1510"/>
      <c r="L239" s="1594" t="s">
        <v>230</v>
      </c>
      <c r="M239" s="224"/>
      <c r="N239" s="217"/>
      <c r="O239" s="1396"/>
      <c r="P239" s="1396"/>
    </row>
    <row r="240" spans="1:16" s="1664" customFormat="1" ht="18.75" hidden="1" customHeight="1">
      <c r="A240" s="1512"/>
      <c r="B240" s="1512"/>
      <c r="C240" s="253" t="s">
        <v>981</v>
      </c>
      <c r="D240" s="2278"/>
      <c r="E240" s="2062"/>
      <c r="F240" s="2196"/>
      <c r="G240" s="2230"/>
      <c r="H240" s="1270"/>
      <c r="I240" s="492" t="s">
        <v>980</v>
      </c>
      <c r="J240" s="429"/>
      <c r="K240" s="1270"/>
      <c r="L240" s="114"/>
      <c r="M240" s="224"/>
      <c r="N240" s="217"/>
      <c r="O240" s="1396"/>
      <c r="P240" s="1396"/>
    </row>
    <row r="241" spans="1:16" s="1664" customFormat="1" ht="0.75" hidden="1" customHeight="1">
      <c r="A241" s="1512"/>
      <c r="B241" s="1512"/>
      <c r="C241" s="253" t="s">
        <v>988</v>
      </c>
      <c r="D241" s="2278"/>
      <c r="E241" s="2062"/>
      <c r="F241" s="2196"/>
      <c r="G241" s="285"/>
      <c r="H241" s="1270"/>
      <c r="I241" s="492"/>
      <c r="J241" s="429"/>
      <c r="K241" s="1270"/>
      <c r="L241" s="114"/>
      <c r="M241" s="224"/>
      <c r="N241" s="217"/>
      <c r="O241" s="1396"/>
      <c r="P241" s="1396"/>
    </row>
    <row r="242" spans="1:16" s="1664" customFormat="1" ht="18.75" hidden="1" customHeight="1">
      <c r="A242" s="1512" t="s">
        <v>179</v>
      </c>
      <c r="B242" s="1512" t="s">
        <v>180</v>
      </c>
      <c r="C242" s="253"/>
      <c r="D242" s="2278"/>
      <c r="E242" s="2062"/>
      <c r="F242" s="2196" t="str">
        <f>INDEX(PT_DIFFERENTIATION_VTAR,MATCH(A242,PT_DIFFERENTIATION_VTAR_ID,0))</f>
        <v>Тариф на транспортировку горячей воды</v>
      </c>
      <c r="G242" s="2230" t="str">
        <f>INDEX(PT_DIFFERENTIATION_NTAR,MATCH(B242,PT_DIFFERENTIATION_NTAR_ID,0))</f>
        <v/>
      </c>
      <c r="H242" s="1594"/>
      <c r="I242" s="1478"/>
      <c r="J242" s="1508"/>
      <c r="K242" s="1510"/>
      <c r="L242" s="1594" t="s">
        <v>230</v>
      </c>
      <c r="M242" s="224"/>
      <c r="N242" s="217"/>
      <c r="O242" s="1396"/>
      <c r="P242" s="1396"/>
    </row>
    <row r="243" spans="1:16" s="1664" customFormat="1" ht="18.75" hidden="1" customHeight="1">
      <c r="A243" s="1512"/>
      <c r="B243" s="1512"/>
      <c r="C243" s="253" t="s">
        <v>981</v>
      </c>
      <c r="D243" s="2278"/>
      <c r="E243" s="2062"/>
      <c r="F243" s="2196"/>
      <c r="G243" s="2230"/>
      <c r="H243" s="1270"/>
      <c r="I243" s="492" t="s">
        <v>980</v>
      </c>
      <c r="J243" s="429"/>
      <c r="K243" s="1270"/>
      <c r="L243" s="114"/>
      <c r="M243" s="224"/>
      <c r="N243" s="217"/>
      <c r="O243" s="1396"/>
      <c r="P243" s="1396"/>
    </row>
    <row r="244" spans="1:16" s="1664" customFormat="1" ht="0.75" hidden="1" customHeight="1">
      <c r="A244" s="1512"/>
      <c r="B244" s="1512"/>
      <c r="C244" s="253" t="s">
        <v>988</v>
      </c>
      <c r="D244" s="2278"/>
      <c r="E244" s="2062"/>
      <c r="F244" s="2196"/>
      <c r="G244" s="285"/>
      <c r="H244" s="1270"/>
      <c r="I244" s="492"/>
      <c r="J244" s="429"/>
      <c r="K244" s="1270"/>
      <c r="L244" s="114"/>
      <c r="M244" s="224"/>
      <c r="N244" s="217"/>
      <c r="O244" s="1396"/>
      <c r="P244" s="1396"/>
    </row>
    <row r="245" spans="1:16" s="1664" customFormat="1" ht="18.75" hidden="1" customHeight="1">
      <c r="A245" s="1512" t="s">
        <v>184</v>
      </c>
      <c r="B245" s="1512" t="s">
        <v>185</v>
      </c>
      <c r="C245" s="253"/>
      <c r="D245" s="2278"/>
      <c r="E245" s="2062"/>
      <c r="F245" s="2196"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30" t="str">
        <f>INDEX(PT_DIFFERENTIATION_NTAR,MATCH(B245,PT_DIFFERENTIATION_NTAR_ID,0))</f>
        <v/>
      </c>
      <c r="H245" s="1594"/>
      <c r="I245" s="1478"/>
      <c r="J245" s="1508"/>
      <c r="K245" s="1510"/>
      <c r="L245" s="1594" t="s">
        <v>230</v>
      </c>
      <c r="M245" s="224"/>
      <c r="N245" s="217"/>
      <c r="O245" s="1396"/>
      <c r="P245" s="1396"/>
    </row>
    <row r="246" spans="1:16" s="1664" customFormat="1" ht="18.75" hidden="1" customHeight="1">
      <c r="A246" s="1512"/>
      <c r="B246" s="1512"/>
      <c r="C246" s="253" t="s">
        <v>981</v>
      </c>
      <c r="D246" s="2278"/>
      <c r="E246" s="2062"/>
      <c r="F246" s="2196"/>
      <c r="G246" s="2230"/>
      <c r="H246" s="1270"/>
      <c r="I246" s="492" t="s">
        <v>980</v>
      </c>
      <c r="J246" s="429"/>
      <c r="K246" s="1270"/>
      <c r="L246" s="114"/>
      <c r="M246" s="224"/>
      <c r="N246" s="217"/>
      <c r="O246" s="1396"/>
      <c r="P246" s="1396"/>
    </row>
    <row r="247" spans="1:16" s="1664" customFormat="1" ht="0.75" hidden="1" customHeight="1">
      <c r="A247" s="1512"/>
      <c r="B247" s="1512"/>
      <c r="C247" s="253" t="s">
        <v>988</v>
      </c>
      <c r="D247" s="2278"/>
      <c r="E247" s="2062"/>
      <c r="F247" s="2196"/>
      <c r="G247" s="285"/>
      <c r="H247" s="1270"/>
      <c r="I247" s="492"/>
      <c r="J247" s="429"/>
      <c r="K247" s="1270"/>
      <c r="L247" s="114"/>
      <c r="M247" s="224"/>
      <c r="N247" s="217"/>
      <c r="O247" s="1396"/>
      <c r="P247" s="1396"/>
    </row>
    <row r="248" spans="1:16" s="1664" customFormat="1" ht="18.75" hidden="1" customHeight="1">
      <c r="A248" s="1512" t="s">
        <v>189</v>
      </c>
      <c r="B248" s="1512" t="s">
        <v>190</v>
      </c>
      <c r="C248" s="253"/>
      <c r="D248" s="2278"/>
      <c r="E248" s="2062"/>
      <c r="F248" s="2196" t="str">
        <f>INDEX(PT_DIFFERENTIATION_VTAR,MATCH(A248,PT_DIFFERENTIATION_VTAR_ID,0))</f>
        <v>Тариф на водоотведение</v>
      </c>
      <c r="G248" s="2230" t="str">
        <f>INDEX(PT_DIFFERENTIATION_NTAR,MATCH(B248,PT_DIFFERENTIATION_NTAR_ID,0))</f>
        <v/>
      </c>
      <c r="H248" s="1594"/>
      <c r="I248" s="1478"/>
      <c r="J248" s="1508"/>
      <c r="K248" s="1510"/>
      <c r="L248" s="1594" t="s">
        <v>230</v>
      </c>
      <c r="M248" s="224"/>
      <c r="N248" s="217"/>
      <c r="O248" s="1396"/>
      <c r="P248" s="1396"/>
    </row>
    <row r="249" spans="1:16" s="1664" customFormat="1" ht="18.75" hidden="1" customHeight="1">
      <c r="A249" s="1512"/>
      <c r="B249" s="1512"/>
      <c r="C249" s="253" t="s">
        <v>981</v>
      </c>
      <c r="D249" s="2278"/>
      <c r="E249" s="2062"/>
      <c r="F249" s="2196"/>
      <c r="G249" s="2230"/>
      <c r="H249" s="1270"/>
      <c r="I249" s="492" t="s">
        <v>980</v>
      </c>
      <c r="J249" s="429"/>
      <c r="K249" s="1270"/>
      <c r="L249" s="114"/>
      <c r="M249" s="224"/>
      <c r="N249" s="217"/>
      <c r="O249" s="1396"/>
      <c r="P249" s="1396"/>
    </row>
    <row r="250" spans="1:16" s="1664" customFormat="1" ht="0.75" hidden="1" customHeight="1">
      <c r="A250" s="1512"/>
      <c r="B250" s="1512"/>
      <c r="C250" s="253" t="s">
        <v>988</v>
      </c>
      <c r="D250" s="2278"/>
      <c r="E250" s="2062"/>
      <c r="F250" s="2196"/>
      <c r="G250" s="285"/>
      <c r="H250" s="1270"/>
      <c r="I250" s="492"/>
      <c r="J250" s="429"/>
      <c r="K250" s="1270"/>
      <c r="L250" s="114"/>
      <c r="M250" s="224"/>
      <c r="N250" s="217"/>
      <c r="O250" s="1396"/>
      <c r="P250" s="1396"/>
    </row>
    <row r="251" spans="1:16" s="1664" customFormat="1" ht="18.75" hidden="1" customHeight="1">
      <c r="A251" s="1512" t="s">
        <v>194</v>
      </c>
      <c r="B251" s="1512" t="s">
        <v>195</v>
      </c>
      <c r="C251" s="253"/>
      <c r="D251" s="2278"/>
      <c r="E251" s="2062"/>
      <c r="F251" s="2196" t="str">
        <f>INDEX(PT_DIFFERENTIATION_VTAR,MATCH(A251,PT_DIFFERENTIATION_VTAR_ID,0))</f>
        <v>Тариф на транспортировку сточных вод</v>
      </c>
      <c r="G251" s="2230" t="str">
        <f>INDEX(PT_DIFFERENTIATION_NTAR,MATCH(B251,PT_DIFFERENTIATION_NTAR_ID,0))</f>
        <v/>
      </c>
      <c r="H251" s="1594"/>
      <c r="I251" s="1478"/>
      <c r="J251" s="1508"/>
      <c r="K251" s="1510"/>
      <c r="L251" s="1594" t="s">
        <v>230</v>
      </c>
      <c r="M251" s="224"/>
      <c r="N251" s="217"/>
      <c r="O251" s="1396"/>
      <c r="P251" s="1396"/>
    </row>
    <row r="252" spans="1:16" s="1664" customFormat="1" ht="18.75" hidden="1" customHeight="1">
      <c r="A252" s="1512"/>
      <c r="B252" s="1512"/>
      <c r="C252" s="253" t="s">
        <v>981</v>
      </c>
      <c r="D252" s="2278"/>
      <c r="E252" s="2062"/>
      <c r="F252" s="2196"/>
      <c r="G252" s="2230"/>
      <c r="H252" s="1270"/>
      <c r="I252" s="492" t="s">
        <v>980</v>
      </c>
      <c r="J252" s="429"/>
      <c r="K252" s="1270"/>
      <c r="L252" s="114"/>
      <c r="M252" s="224"/>
      <c r="N252" s="217"/>
      <c r="O252" s="1396"/>
      <c r="P252" s="1396"/>
    </row>
    <row r="253" spans="1:16" s="1664" customFormat="1" ht="0.75" hidden="1" customHeight="1">
      <c r="A253" s="1512"/>
      <c r="B253" s="1512"/>
      <c r="C253" s="253" t="s">
        <v>988</v>
      </c>
      <c r="D253" s="2278"/>
      <c r="E253" s="2062"/>
      <c r="F253" s="2196"/>
      <c r="G253" s="285"/>
      <c r="H253" s="1270"/>
      <c r="I253" s="492"/>
      <c r="J253" s="429"/>
      <c r="K253" s="1270"/>
      <c r="L253" s="114"/>
      <c r="M253" s="224"/>
      <c r="N253" s="217"/>
      <c r="O253" s="1396"/>
      <c r="P253" s="1396"/>
    </row>
    <row r="254" spans="1:16" s="1664" customFormat="1" ht="18.75" hidden="1" customHeight="1">
      <c r="A254" s="1512" t="s">
        <v>199</v>
      </c>
      <c r="B254" s="1512" t="s">
        <v>200</v>
      </c>
      <c r="C254" s="253"/>
      <c r="D254" s="2278"/>
      <c r="E254" s="2062"/>
      <c r="F254" s="2196" t="str">
        <f>INDEX(PT_DIFFERENTIATION_VTAR,MATCH(A254,PT_DIFFERENTIATION_VTAR_ID,0))</f>
        <v>Тариф на подключение (технологическое присоединение) к централизованной системе водоотведения</v>
      </c>
      <c r="G254" s="2230" t="str">
        <f>INDEX(PT_DIFFERENTIATION_NTAR,MATCH(B254,PT_DIFFERENTIATION_NTAR_ID,0))</f>
        <v/>
      </c>
      <c r="H254" s="1594"/>
      <c r="I254" s="1478"/>
      <c r="J254" s="1508"/>
      <c r="K254" s="1510"/>
      <c r="L254" s="1594" t="s">
        <v>230</v>
      </c>
      <c r="M254" s="224"/>
      <c r="N254" s="217"/>
      <c r="O254" s="1396"/>
      <c r="P254" s="1396"/>
    </row>
    <row r="255" spans="1:16" s="1664" customFormat="1" ht="18.75" hidden="1" customHeight="1">
      <c r="A255" s="1512"/>
      <c r="B255" s="1512"/>
      <c r="C255" s="253" t="s">
        <v>981</v>
      </c>
      <c r="D255" s="2278"/>
      <c r="E255" s="2062"/>
      <c r="F255" s="2196"/>
      <c r="G255" s="2230"/>
      <c r="H255" s="1270"/>
      <c r="I255" s="492" t="s">
        <v>980</v>
      </c>
      <c r="J255" s="429"/>
      <c r="K255" s="1270"/>
      <c r="L255" s="114"/>
      <c r="M255" s="224"/>
      <c r="N255" s="217"/>
      <c r="O255" s="1396"/>
      <c r="P255" s="1396"/>
    </row>
    <row r="256" spans="1:16" s="1664" customFormat="1" ht="0.75" customHeight="1">
      <c r="A256" s="1512"/>
      <c r="B256" s="1512"/>
      <c r="C256" s="253" t="s">
        <v>988</v>
      </c>
      <c r="D256" s="2278"/>
      <c r="E256" s="2062"/>
      <c r="F256" s="2196"/>
      <c r="G256" s="285"/>
      <c r="H256" s="1270"/>
      <c r="I256" s="492"/>
      <c r="J256" s="429"/>
      <c r="K256" s="1270"/>
      <c r="L256" s="114"/>
      <c r="M256" s="224"/>
      <c r="N256" s="217"/>
      <c r="O256" s="1396"/>
      <c r="P256" s="1396"/>
    </row>
    <row r="257" spans="1:16" ht="25.5" customHeight="1">
      <c r="A257" s="1512"/>
      <c r="B257" s="1512"/>
      <c r="D257" s="261"/>
      <c r="E257" s="53" t="s">
        <v>26</v>
      </c>
      <c r="F257" s="227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72"/>
      <c r="H257" s="2272"/>
      <c r="I257" s="2272"/>
      <c r="J257" s="2272"/>
      <c r="K257" s="2272"/>
      <c r="L257" s="2272"/>
      <c r="M257" s="172"/>
      <c r="N257" s="217"/>
    </row>
    <row r="258" spans="1:16" s="1664" customFormat="1" ht="60.75" hidden="1" customHeight="1">
      <c r="A258" s="1512" t="s">
        <v>93</v>
      </c>
      <c r="B258" s="1512" t="s">
        <v>94</v>
      </c>
      <c r="C258" s="253"/>
      <c r="D258" s="2278"/>
      <c r="E258" s="2062"/>
      <c r="F258" s="219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30" t="str">
        <f>INDEX(PT_DIFFERENTIATION_NTAR,MATCH(B258,PT_DIFFERENTIATION_NTAR_ID,0))</f>
        <v/>
      </c>
      <c r="H258" s="1594"/>
      <c r="I258" s="1478"/>
      <c r="J258" s="1508"/>
      <c r="K258" s="1510"/>
      <c r="L258" s="1594" t="s">
        <v>230</v>
      </c>
      <c r="M258" s="20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17"/>
      <c r="O258" s="1396"/>
      <c r="P258" s="1396"/>
    </row>
    <row r="259" spans="1:16" s="1664" customFormat="1" ht="18.75" hidden="1" customHeight="1">
      <c r="A259" s="1512"/>
      <c r="B259" s="1512"/>
      <c r="C259" s="253" t="s">
        <v>981</v>
      </c>
      <c r="D259" s="2278"/>
      <c r="E259" s="2062"/>
      <c r="F259" s="2196"/>
      <c r="G259" s="2230"/>
      <c r="H259" s="1270"/>
      <c r="I259" s="492" t="s">
        <v>980</v>
      </c>
      <c r="J259" s="429"/>
      <c r="K259" s="1270"/>
      <c r="L259" s="114"/>
      <c r="M259" s="2023"/>
      <c r="N259" s="217"/>
      <c r="O259" s="1396"/>
      <c r="P259" s="1396"/>
    </row>
    <row r="260" spans="1:16" s="1664" customFormat="1" ht="0.75" hidden="1" customHeight="1">
      <c r="A260" s="1512"/>
      <c r="B260" s="1512"/>
      <c r="C260" s="253" t="s">
        <v>988</v>
      </c>
      <c r="D260" s="2278"/>
      <c r="E260" s="2062"/>
      <c r="F260" s="2196"/>
      <c r="G260" s="285"/>
      <c r="H260" s="1270"/>
      <c r="I260" s="492"/>
      <c r="J260" s="429"/>
      <c r="K260" s="1270"/>
      <c r="L260" s="114"/>
      <c r="M260" s="2023"/>
      <c r="N260" s="217"/>
      <c r="O260" s="1396"/>
      <c r="P260" s="1396"/>
    </row>
    <row r="261" spans="1:16" s="1664" customFormat="1" ht="45" hidden="1" customHeight="1">
      <c r="A261" s="1512" t="s">
        <v>99</v>
      </c>
      <c r="B261" s="1512" t="s">
        <v>100</v>
      </c>
      <c r="C261" s="253"/>
      <c r="D261" s="2278"/>
      <c r="E261" s="2062"/>
      <c r="F261" s="219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30" t="str">
        <f>INDEX(PT_DIFFERENTIATION_NTAR,MATCH(B261,PT_DIFFERENTIATION_NTAR_ID,0))</f>
        <v/>
      </c>
      <c r="H261" s="1594"/>
      <c r="I261" s="1478"/>
      <c r="J261" s="1508"/>
      <c r="K261" s="1510"/>
      <c r="L261" s="1594" t="s">
        <v>230</v>
      </c>
      <c r="M261" s="2024"/>
      <c r="N261" s="217"/>
      <c r="O261" s="1396"/>
      <c r="P261" s="1396"/>
    </row>
    <row r="262" spans="1:16" s="1664" customFormat="1" ht="18.75" hidden="1" customHeight="1">
      <c r="A262" s="1512"/>
      <c r="B262" s="1512"/>
      <c r="C262" s="253" t="s">
        <v>981</v>
      </c>
      <c r="D262" s="2278"/>
      <c r="E262" s="2062"/>
      <c r="F262" s="2196"/>
      <c r="G262" s="2230"/>
      <c r="H262" s="1270"/>
      <c r="I262" s="492" t="s">
        <v>980</v>
      </c>
      <c r="J262" s="429"/>
      <c r="K262" s="1270"/>
      <c r="L262" s="114"/>
      <c r="M262" s="1593"/>
      <c r="N262" s="217"/>
      <c r="O262" s="1396"/>
      <c r="P262" s="1396"/>
    </row>
    <row r="263" spans="1:16" s="1664" customFormat="1" ht="0.75" hidden="1" customHeight="1">
      <c r="A263" s="1512"/>
      <c r="B263" s="1512"/>
      <c r="C263" s="253" t="s">
        <v>988</v>
      </c>
      <c r="D263" s="2278"/>
      <c r="E263" s="2062"/>
      <c r="F263" s="2196"/>
      <c r="G263" s="285"/>
      <c r="H263" s="1270"/>
      <c r="I263" s="492"/>
      <c r="J263" s="429"/>
      <c r="K263" s="1270"/>
      <c r="L263" s="114"/>
      <c r="M263" s="224"/>
      <c r="N263" s="217"/>
      <c r="O263" s="1396"/>
      <c r="P263" s="1396"/>
    </row>
    <row r="264" spans="1:16" s="1664" customFormat="1" ht="45" hidden="1" customHeight="1">
      <c r="A264" s="1512" t="s">
        <v>105</v>
      </c>
      <c r="B264" s="1512" t="s">
        <v>106</v>
      </c>
      <c r="C264" s="253"/>
      <c r="D264" s="2278"/>
      <c r="E264" s="2062"/>
      <c r="F264" s="219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30" t="str">
        <f>INDEX(PT_DIFFERENTIATION_NTAR,MATCH(B264,PT_DIFFERENTIATION_NTAR_ID,0))</f>
        <v/>
      </c>
      <c r="H264" s="1594"/>
      <c r="I264" s="1478"/>
      <c r="J264" s="1508"/>
      <c r="K264" s="1510"/>
      <c r="L264" s="1594" t="s">
        <v>230</v>
      </c>
      <c r="M264" s="224"/>
      <c r="N264" s="217"/>
      <c r="O264" s="1396"/>
      <c r="P264" s="1396"/>
    </row>
    <row r="265" spans="1:16" s="1664" customFormat="1" ht="18.75" hidden="1" customHeight="1">
      <c r="A265" s="1512"/>
      <c r="B265" s="1512"/>
      <c r="C265" s="253" t="s">
        <v>981</v>
      </c>
      <c r="D265" s="2278"/>
      <c r="E265" s="2062"/>
      <c r="F265" s="2196"/>
      <c r="G265" s="2230"/>
      <c r="H265" s="1270"/>
      <c r="I265" s="492" t="s">
        <v>980</v>
      </c>
      <c r="J265" s="429"/>
      <c r="K265" s="1270"/>
      <c r="L265" s="114"/>
      <c r="M265" s="224"/>
      <c r="N265" s="217"/>
      <c r="O265" s="1396"/>
      <c r="P265" s="1396"/>
    </row>
    <row r="266" spans="1:16" s="1664" customFormat="1" ht="0.75" hidden="1" customHeight="1">
      <c r="A266" s="1512"/>
      <c r="B266" s="1512"/>
      <c r="C266" s="253" t="s">
        <v>988</v>
      </c>
      <c r="D266" s="2278"/>
      <c r="E266" s="2062"/>
      <c r="F266" s="2196"/>
      <c r="G266" s="285"/>
      <c r="H266" s="1270"/>
      <c r="I266" s="492"/>
      <c r="J266" s="429"/>
      <c r="K266" s="1270"/>
      <c r="L266" s="114"/>
      <c r="M266" s="224"/>
      <c r="N266" s="217"/>
      <c r="O266" s="1396"/>
      <c r="P266" s="1396"/>
    </row>
    <row r="267" spans="1:16" s="1664" customFormat="1" ht="45" hidden="1" customHeight="1">
      <c r="A267" s="1512" t="s">
        <v>111</v>
      </c>
      <c r="B267" s="1512" t="s">
        <v>112</v>
      </c>
      <c r="C267" s="253"/>
      <c r="D267" s="2278"/>
      <c r="E267" s="2062"/>
      <c r="F267" s="219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30" t="str">
        <f>INDEX(PT_DIFFERENTIATION_NTAR,MATCH(B267,PT_DIFFERENTIATION_NTAR_ID,0))</f>
        <v/>
      </c>
      <c r="H267" s="1594"/>
      <c r="I267" s="1478"/>
      <c r="J267" s="1508"/>
      <c r="K267" s="1510"/>
      <c r="L267" s="1594" t="s">
        <v>230</v>
      </c>
      <c r="M267" s="224"/>
      <c r="N267" s="217"/>
      <c r="O267" s="1396"/>
      <c r="P267" s="1396"/>
    </row>
    <row r="268" spans="1:16" s="1664" customFormat="1" ht="18.75" hidden="1" customHeight="1">
      <c r="A268" s="1512"/>
      <c r="B268" s="1512"/>
      <c r="C268" s="253" t="s">
        <v>981</v>
      </c>
      <c r="D268" s="2278"/>
      <c r="E268" s="2062"/>
      <c r="F268" s="2196"/>
      <c r="G268" s="2230"/>
      <c r="H268" s="1270"/>
      <c r="I268" s="492" t="s">
        <v>980</v>
      </c>
      <c r="J268" s="429"/>
      <c r="K268" s="1270"/>
      <c r="L268" s="114"/>
      <c r="M268" s="224"/>
      <c r="N268" s="217"/>
      <c r="O268" s="1396"/>
      <c r="P268" s="1396"/>
    </row>
    <row r="269" spans="1:16" s="1664" customFormat="1" ht="0.75" hidden="1" customHeight="1">
      <c r="A269" s="1512"/>
      <c r="B269" s="1512"/>
      <c r="C269" s="253" t="s">
        <v>988</v>
      </c>
      <c r="D269" s="2278"/>
      <c r="E269" s="2062"/>
      <c r="F269" s="2196"/>
      <c r="G269" s="285"/>
      <c r="H269" s="1270"/>
      <c r="I269" s="492"/>
      <c r="J269" s="429"/>
      <c r="K269" s="1270"/>
      <c r="L269" s="114"/>
      <c r="M269" s="224"/>
      <c r="N269" s="217"/>
      <c r="O269" s="1396"/>
      <c r="P269" s="1396"/>
    </row>
    <row r="270" spans="1:16" s="1664" customFormat="1" ht="18.75" hidden="1" customHeight="1">
      <c r="A270" s="1512" t="s">
        <v>117</v>
      </c>
      <c r="B270" s="1512" t="s">
        <v>118</v>
      </c>
      <c r="C270" s="253"/>
      <c r="D270" s="2278"/>
      <c r="E270" s="2062"/>
      <c r="F270" s="2196" t="str">
        <f>INDEX(PT_DIFFERENTIATION_VTAR,MATCH(A270,PT_DIFFERENTIATION_VTAR_ID,0))</f>
        <v>Тарифы на услуги по передаче тепловой энергии</v>
      </c>
      <c r="G270" s="2230" t="str">
        <f>INDEX(PT_DIFFERENTIATION_NTAR,MATCH(B270,PT_DIFFERENTIATION_NTAR_ID,0))</f>
        <v/>
      </c>
      <c r="H270" s="1594"/>
      <c r="I270" s="1478"/>
      <c r="J270" s="1508"/>
      <c r="K270" s="1510"/>
      <c r="L270" s="1594" t="s">
        <v>230</v>
      </c>
      <c r="M270" s="224"/>
      <c r="N270" s="217"/>
      <c r="O270" s="1396"/>
      <c r="P270" s="1396"/>
    </row>
    <row r="271" spans="1:16" s="1664" customFormat="1" ht="18.75" hidden="1" customHeight="1">
      <c r="A271" s="1512"/>
      <c r="B271" s="1512"/>
      <c r="C271" s="253" t="s">
        <v>981</v>
      </c>
      <c r="D271" s="2278"/>
      <c r="E271" s="2062"/>
      <c r="F271" s="2196"/>
      <c r="G271" s="2230"/>
      <c r="H271" s="1270"/>
      <c r="I271" s="492" t="s">
        <v>980</v>
      </c>
      <c r="J271" s="429"/>
      <c r="K271" s="1270"/>
      <c r="L271" s="114"/>
      <c r="M271" s="224"/>
      <c r="N271" s="217"/>
      <c r="O271" s="1396"/>
      <c r="P271" s="1396"/>
    </row>
    <row r="272" spans="1:16" s="1664" customFormat="1" ht="0.75" hidden="1" customHeight="1">
      <c r="A272" s="1512"/>
      <c r="B272" s="1512"/>
      <c r="C272" s="253" t="s">
        <v>988</v>
      </c>
      <c r="D272" s="2278"/>
      <c r="E272" s="2062"/>
      <c r="F272" s="2196"/>
      <c r="G272" s="285"/>
      <c r="H272" s="1270"/>
      <c r="I272" s="492"/>
      <c r="J272" s="429"/>
      <c r="K272" s="1270"/>
      <c r="L272" s="114"/>
      <c r="M272" s="224"/>
      <c r="N272" s="217"/>
      <c r="O272" s="1396"/>
      <c r="P272" s="1396"/>
    </row>
    <row r="273" spans="1:16" s="1664" customFormat="1" ht="18.75" hidden="1" customHeight="1">
      <c r="A273" s="1512" t="s">
        <v>123</v>
      </c>
      <c r="B273" s="1512" t="s">
        <v>124</v>
      </c>
      <c r="C273" s="253"/>
      <c r="D273" s="2278"/>
      <c r="E273" s="2062"/>
      <c r="F273" s="2196" t="str">
        <f>INDEX(PT_DIFFERENTIATION_VTAR,MATCH(A273,PT_DIFFERENTIATION_VTAR_ID,0))</f>
        <v>Тарифы на услуги по передаче теплоносителя</v>
      </c>
      <c r="G273" s="2230" t="str">
        <f>INDEX(PT_DIFFERENTIATION_NTAR,MATCH(B273,PT_DIFFERENTIATION_NTAR_ID,0))</f>
        <v/>
      </c>
      <c r="H273" s="1594"/>
      <c r="I273" s="1478"/>
      <c r="J273" s="1508"/>
      <c r="K273" s="1510"/>
      <c r="L273" s="1594" t="s">
        <v>230</v>
      </c>
      <c r="M273" s="224"/>
      <c r="N273" s="217"/>
      <c r="O273" s="1396"/>
      <c r="P273" s="1396"/>
    </row>
    <row r="274" spans="1:16" s="1664" customFormat="1" ht="18.75" hidden="1" customHeight="1">
      <c r="A274" s="1512"/>
      <c r="B274" s="1512"/>
      <c r="C274" s="253" t="s">
        <v>981</v>
      </c>
      <c r="D274" s="2278"/>
      <c r="E274" s="2062"/>
      <c r="F274" s="2196"/>
      <c r="G274" s="2230"/>
      <c r="H274" s="1270"/>
      <c r="I274" s="492" t="s">
        <v>980</v>
      </c>
      <c r="J274" s="429"/>
      <c r="K274" s="1270"/>
      <c r="L274" s="114"/>
      <c r="M274" s="224"/>
      <c r="N274" s="217"/>
      <c r="O274" s="1396"/>
      <c r="P274" s="1396"/>
    </row>
    <row r="275" spans="1:16" s="1664" customFormat="1" ht="0.75" hidden="1" customHeight="1">
      <c r="A275" s="1512"/>
      <c r="B275" s="1512"/>
      <c r="C275" s="253" t="s">
        <v>988</v>
      </c>
      <c r="D275" s="2278"/>
      <c r="E275" s="2062"/>
      <c r="F275" s="2196"/>
      <c r="G275" s="285"/>
      <c r="H275" s="1270"/>
      <c r="I275" s="492"/>
      <c r="J275" s="429"/>
      <c r="K275" s="1270"/>
      <c r="L275" s="114"/>
      <c r="M275" s="224"/>
      <c r="N275" s="217"/>
      <c r="O275" s="1396"/>
      <c r="P275" s="1396"/>
    </row>
    <row r="276" spans="1:16" s="1664" customFormat="1" ht="18.75" hidden="1" customHeight="1">
      <c r="A276" s="1512" t="s">
        <v>129</v>
      </c>
      <c r="B276" s="1512" t="s">
        <v>130</v>
      </c>
      <c r="C276" s="253"/>
      <c r="D276" s="2278"/>
      <c r="E276" s="2062"/>
      <c r="F276" s="219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30" t="str">
        <f>INDEX(PT_DIFFERENTIATION_NTAR,MATCH(B276,PT_DIFFERENTIATION_NTAR_ID,0))</f>
        <v/>
      </c>
      <c r="H276" s="1594"/>
      <c r="I276" s="1478"/>
      <c r="J276" s="1508"/>
      <c r="K276" s="1510"/>
      <c r="L276" s="1594" t="s">
        <v>230</v>
      </c>
      <c r="M276" s="224"/>
      <c r="N276" s="217"/>
      <c r="O276" s="1396"/>
      <c r="P276" s="1396"/>
    </row>
    <row r="277" spans="1:16" s="1664" customFormat="1" ht="18.75" hidden="1" customHeight="1">
      <c r="A277" s="1512"/>
      <c r="B277" s="1512"/>
      <c r="C277" s="253" t="s">
        <v>981</v>
      </c>
      <c r="D277" s="2278"/>
      <c r="E277" s="2062"/>
      <c r="F277" s="2196"/>
      <c r="G277" s="2230"/>
      <c r="H277" s="1270"/>
      <c r="I277" s="492" t="s">
        <v>980</v>
      </c>
      <c r="J277" s="429"/>
      <c r="K277" s="1270"/>
      <c r="L277" s="114"/>
      <c r="M277" s="224"/>
      <c r="N277" s="217"/>
      <c r="O277" s="1396"/>
      <c r="P277" s="1396"/>
    </row>
    <row r="278" spans="1:16" s="1664" customFormat="1" ht="0.75" hidden="1" customHeight="1">
      <c r="A278" s="1512"/>
      <c r="B278" s="1512"/>
      <c r="C278" s="253" t="s">
        <v>988</v>
      </c>
      <c r="D278" s="2278"/>
      <c r="E278" s="2062"/>
      <c r="F278" s="2196"/>
      <c r="G278" s="285"/>
      <c r="H278" s="1270"/>
      <c r="I278" s="492"/>
      <c r="J278" s="429"/>
      <c r="K278" s="1270"/>
      <c r="L278" s="114"/>
      <c r="M278" s="224"/>
      <c r="N278" s="217"/>
      <c r="O278" s="1396"/>
      <c r="P278" s="1396"/>
    </row>
    <row r="279" spans="1:16" s="1664" customFormat="1" ht="18.75" hidden="1" customHeight="1">
      <c r="A279" s="1512" t="s">
        <v>135</v>
      </c>
      <c r="B279" s="1512" t="s">
        <v>136</v>
      </c>
      <c r="C279" s="253"/>
      <c r="D279" s="2278"/>
      <c r="E279" s="2062"/>
      <c r="F279" s="2196" t="str">
        <f>INDEX(PT_DIFFERENTIATION_VTAR,MATCH(A279,PT_DIFFERENTIATION_VTAR_ID,0))</f>
        <v>Плата за подключение (технологическое присоединение) к системе теплоснабжения</v>
      </c>
      <c r="G279" s="2230" t="str">
        <f>INDEX(PT_DIFFERENTIATION_NTAR,MATCH(B279,PT_DIFFERENTIATION_NTAR_ID,0))</f>
        <v/>
      </c>
      <c r="H279" s="1594"/>
      <c r="I279" s="1478"/>
      <c r="J279" s="1508"/>
      <c r="K279" s="1510"/>
      <c r="L279" s="1594" t="s">
        <v>230</v>
      </c>
      <c r="M279" s="224"/>
      <c r="N279" s="217"/>
      <c r="O279" s="1396"/>
      <c r="P279" s="1396"/>
    </row>
    <row r="280" spans="1:16" s="1664" customFormat="1" ht="18.75" hidden="1" customHeight="1">
      <c r="A280" s="1512"/>
      <c r="B280" s="1512"/>
      <c r="C280" s="253" t="s">
        <v>981</v>
      </c>
      <c r="D280" s="2278"/>
      <c r="E280" s="2062"/>
      <c r="F280" s="2196"/>
      <c r="G280" s="2230"/>
      <c r="H280" s="1270"/>
      <c r="I280" s="492" t="s">
        <v>980</v>
      </c>
      <c r="J280" s="429"/>
      <c r="K280" s="1270"/>
      <c r="L280" s="114"/>
      <c r="M280" s="224"/>
      <c r="N280" s="217"/>
      <c r="O280" s="1396"/>
      <c r="P280" s="1396"/>
    </row>
    <row r="281" spans="1:16" s="1664" customFormat="1" ht="0.75" hidden="1" customHeight="1">
      <c r="A281" s="1512"/>
      <c r="B281" s="1512"/>
      <c r="C281" s="253" t="s">
        <v>988</v>
      </c>
      <c r="D281" s="2278"/>
      <c r="E281" s="2062"/>
      <c r="F281" s="2196"/>
      <c r="G281" s="285"/>
      <c r="H281" s="1270"/>
      <c r="I281" s="492"/>
      <c r="J281" s="429"/>
      <c r="K281" s="1270"/>
      <c r="L281" s="114"/>
      <c r="M281" s="224"/>
      <c r="N281" s="217"/>
      <c r="O281" s="1396"/>
      <c r="P281" s="1396"/>
    </row>
    <row r="282" spans="1:16" s="1664" customFormat="1" ht="18.75" hidden="1" customHeight="1">
      <c r="A282" s="1512" t="s">
        <v>149</v>
      </c>
      <c r="B282" s="1512" t="s">
        <v>150</v>
      </c>
      <c r="C282" s="253"/>
      <c r="D282" s="2278"/>
      <c r="E282" s="2062"/>
      <c r="F282" s="2196" t="str">
        <f>INDEX(PT_DIFFERENTIATION_VTAR,MATCH(A282,PT_DIFFERENTIATION_VTAR_ID,0))</f>
        <v>Тариф на питьевую воду (питьевое водоснабжение)</v>
      </c>
      <c r="G282" s="2230" t="str">
        <f>INDEX(PT_DIFFERENTIATION_NTAR,MATCH(B282,PT_DIFFERENTIATION_NTAR_ID,0))</f>
        <v/>
      </c>
      <c r="H282" s="1594"/>
      <c r="I282" s="1478"/>
      <c r="J282" s="1508"/>
      <c r="K282" s="1510"/>
      <c r="L282" s="1594" t="s">
        <v>230</v>
      </c>
      <c r="M282" s="224"/>
      <c r="N282" s="217"/>
      <c r="O282" s="1396"/>
      <c r="P282" s="1396"/>
    </row>
    <row r="283" spans="1:16" s="1664" customFormat="1" ht="18.75" hidden="1" customHeight="1">
      <c r="A283" s="1512"/>
      <c r="B283" s="1512"/>
      <c r="C283" s="253" t="s">
        <v>981</v>
      </c>
      <c r="D283" s="2278"/>
      <c r="E283" s="2062"/>
      <c r="F283" s="2196"/>
      <c r="G283" s="2230"/>
      <c r="H283" s="1270"/>
      <c r="I283" s="492" t="s">
        <v>980</v>
      </c>
      <c r="J283" s="429"/>
      <c r="K283" s="1270"/>
      <c r="L283" s="114"/>
      <c r="M283" s="224"/>
      <c r="N283" s="217"/>
      <c r="O283" s="1396"/>
      <c r="P283" s="1396"/>
    </row>
    <row r="284" spans="1:16" s="1664" customFormat="1" ht="0.75" hidden="1" customHeight="1">
      <c r="A284" s="1512"/>
      <c r="B284" s="1512"/>
      <c r="C284" s="253" t="s">
        <v>988</v>
      </c>
      <c r="D284" s="2278"/>
      <c r="E284" s="2062"/>
      <c r="F284" s="2196"/>
      <c r="G284" s="285"/>
      <c r="H284" s="1270"/>
      <c r="I284" s="492"/>
      <c r="J284" s="429"/>
      <c r="K284" s="1270"/>
      <c r="L284" s="114"/>
      <c r="M284" s="224"/>
      <c r="N284" s="217"/>
      <c r="O284" s="1396"/>
      <c r="P284" s="1396"/>
    </row>
    <row r="285" spans="1:16" s="1664" customFormat="1" ht="18.75" hidden="1" customHeight="1">
      <c r="A285" s="1512" t="s">
        <v>154</v>
      </c>
      <c r="B285" s="1512" t="s">
        <v>155</v>
      </c>
      <c r="C285" s="253"/>
      <c r="D285" s="2278"/>
      <c r="E285" s="2062"/>
      <c r="F285" s="2196" t="str">
        <f>INDEX(PT_DIFFERENTIATION_VTAR,MATCH(A285,PT_DIFFERENTIATION_VTAR_ID,0))</f>
        <v>Тариф на техническую воду</v>
      </c>
      <c r="G285" s="2230" t="str">
        <f>INDEX(PT_DIFFERENTIATION_NTAR,MATCH(B285,PT_DIFFERENTIATION_NTAR_ID,0))</f>
        <v/>
      </c>
      <c r="H285" s="1594"/>
      <c r="I285" s="1478"/>
      <c r="J285" s="1508"/>
      <c r="K285" s="1510"/>
      <c r="L285" s="1594" t="s">
        <v>230</v>
      </c>
      <c r="M285" s="224"/>
      <c r="N285" s="217"/>
      <c r="O285" s="1396"/>
      <c r="P285" s="1396"/>
    </row>
    <row r="286" spans="1:16" s="1664" customFormat="1" ht="18.75" hidden="1" customHeight="1">
      <c r="A286" s="1512"/>
      <c r="B286" s="1512"/>
      <c r="C286" s="253" t="s">
        <v>981</v>
      </c>
      <c r="D286" s="2278"/>
      <c r="E286" s="2062"/>
      <c r="F286" s="2196"/>
      <c r="G286" s="2230"/>
      <c r="H286" s="1270"/>
      <c r="I286" s="492" t="s">
        <v>980</v>
      </c>
      <c r="J286" s="429"/>
      <c r="K286" s="1270"/>
      <c r="L286" s="114"/>
      <c r="M286" s="224"/>
      <c r="N286" s="217"/>
      <c r="O286" s="1396"/>
      <c r="P286" s="1396"/>
    </row>
    <row r="287" spans="1:16" s="1664" customFormat="1" ht="0.75" hidden="1" customHeight="1">
      <c r="A287" s="1512"/>
      <c r="B287" s="1512"/>
      <c r="C287" s="253" t="s">
        <v>988</v>
      </c>
      <c r="D287" s="2278"/>
      <c r="E287" s="2062"/>
      <c r="F287" s="2196"/>
      <c r="G287" s="285"/>
      <c r="H287" s="1270"/>
      <c r="I287" s="492"/>
      <c r="J287" s="429"/>
      <c r="K287" s="1270"/>
      <c r="L287" s="114"/>
      <c r="M287" s="224"/>
      <c r="N287" s="217"/>
      <c r="O287" s="1396"/>
      <c r="P287" s="1396"/>
    </row>
    <row r="288" spans="1:16" s="1664" customFormat="1" ht="18.75" hidden="1" customHeight="1">
      <c r="A288" s="1512" t="s">
        <v>159</v>
      </c>
      <c r="B288" s="1512" t="s">
        <v>160</v>
      </c>
      <c r="C288" s="253"/>
      <c r="D288" s="2278"/>
      <c r="E288" s="2062"/>
      <c r="F288" s="2196" t="str">
        <f>INDEX(PT_DIFFERENTIATION_VTAR,MATCH(A288,PT_DIFFERENTIATION_VTAR_ID,0))</f>
        <v>Тариф на транспортировку воды</v>
      </c>
      <c r="G288" s="2230" t="str">
        <f>INDEX(PT_DIFFERENTIATION_NTAR,MATCH(B288,PT_DIFFERENTIATION_NTAR_ID,0))</f>
        <v/>
      </c>
      <c r="H288" s="1594"/>
      <c r="I288" s="1478"/>
      <c r="J288" s="1508"/>
      <c r="K288" s="1510"/>
      <c r="L288" s="1594" t="s">
        <v>230</v>
      </c>
      <c r="M288" s="224"/>
      <c r="N288" s="217"/>
      <c r="O288" s="1396"/>
      <c r="P288" s="1396"/>
    </row>
    <row r="289" spans="1:16" s="1664" customFormat="1" ht="18.75" hidden="1" customHeight="1">
      <c r="A289" s="1512"/>
      <c r="B289" s="1512"/>
      <c r="C289" s="253" t="s">
        <v>981</v>
      </c>
      <c r="D289" s="2278"/>
      <c r="E289" s="2062"/>
      <c r="F289" s="2196"/>
      <c r="G289" s="2230"/>
      <c r="H289" s="1270"/>
      <c r="I289" s="492" t="s">
        <v>980</v>
      </c>
      <c r="J289" s="429"/>
      <c r="K289" s="1270"/>
      <c r="L289" s="114"/>
      <c r="M289" s="224"/>
      <c r="N289" s="217"/>
      <c r="O289" s="1396"/>
      <c r="P289" s="1396"/>
    </row>
    <row r="290" spans="1:16" s="1664" customFormat="1" ht="0.75" hidden="1" customHeight="1">
      <c r="A290" s="1512"/>
      <c r="B290" s="1512"/>
      <c r="C290" s="253" t="s">
        <v>988</v>
      </c>
      <c r="D290" s="2278"/>
      <c r="E290" s="2062"/>
      <c r="F290" s="2196"/>
      <c r="G290" s="285"/>
      <c r="H290" s="1270"/>
      <c r="I290" s="492"/>
      <c r="J290" s="429"/>
      <c r="K290" s="1270"/>
      <c r="L290" s="114"/>
      <c r="M290" s="224"/>
      <c r="N290" s="217"/>
      <c r="O290" s="1396"/>
      <c r="P290" s="1396"/>
    </row>
    <row r="291" spans="1:16" s="1664" customFormat="1" ht="18.75" hidden="1" customHeight="1">
      <c r="A291" s="1512" t="s">
        <v>164</v>
      </c>
      <c r="B291" s="1512" t="s">
        <v>165</v>
      </c>
      <c r="C291" s="253"/>
      <c r="D291" s="2278"/>
      <c r="E291" s="2062"/>
      <c r="F291" s="2196" t="str">
        <f>INDEX(PT_DIFFERENTIATION_VTAR,MATCH(A291,PT_DIFFERENTIATION_VTAR_ID,0))</f>
        <v>Тариф на подвоз воды</v>
      </c>
      <c r="G291" s="2230" t="str">
        <f>INDEX(PT_DIFFERENTIATION_NTAR,MATCH(B291,PT_DIFFERENTIATION_NTAR_ID,0))</f>
        <v/>
      </c>
      <c r="H291" s="1594"/>
      <c r="I291" s="1478"/>
      <c r="J291" s="1508"/>
      <c r="K291" s="1510"/>
      <c r="L291" s="1594" t="s">
        <v>230</v>
      </c>
      <c r="M291" s="224"/>
      <c r="N291" s="217"/>
      <c r="O291" s="1396"/>
      <c r="P291" s="1396"/>
    </row>
    <row r="292" spans="1:16" s="1664" customFormat="1" ht="18.75" hidden="1" customHeight="1">
      <c r="A292" s="1512"/>
      <c r="B292" s="1512"/>
      <c r="C292" s="253" t="s">
        <v>981</v>
      </c>
      <c r="D292" s="2278"/>
      <c r="E292" s="2062"/>
      <c r="F292" s="2196"/>
      <c r="G292" s="2230"/>
      <c r="H292" s="1270"/>
      <c r="I292" s="492" t="s">
        <v>980</v>
      </c>
      <c r="J292" s="429"/>
      <c r="K292" s="1270"/>
      <c r="L292" s="114"/>
      <c r="M292" s="224"/>
      <c r="N292" s="217"/>
      <c r="O292" s="1396"/>
      <c r="P292" s="1396"/>
    </row>
    <row r="293" spans="1:16" s="1664" customFormat="1" ht="0.75" hidden="1" customHeight="1">
      <c r="A293" s="1512"/>
      <c r="B293" s="1512"/>
      <c r="C293" s="253" t="s">
        <v>988</v>
      </c>
      <c r="D293" s="2278"/>
      <c r="E293" s="2062"/>
      <c r="F293" s="2196"/>
      <c r="G293" s="285"/>
      <c r="H293" s="1270"/>
      <c r="I293" s="492"/>
      <c r="J293" s="429"/>
      <c r="K293" s="1270"/>
      <c r="L293" s="114"/>
      <c r="M293" s="224"/>
      <c r="N293" s="217"/>
      <c r="O293" s="1396"/>
      <c r="P293" s="1396"/>
    </row>
    <row r="294" spans="1:16" s="1664" customFormat="1" ht="18.75" hidden="1" customHeight="1">
      <c r="A294" s="1512" t="s">
        <v>169</v>
      </c>
      <c r="B294" s="1512" t="s">
        <v>170</v>
      </c>
      <c r="C294" s="253"/>
      <c r="D294" s="2278"/>
      <c r="E294" s="2062"/>
      <c r="F294" s="219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30" t="str">
        <f>INDEX(PT_DIFFERENTIATION_NTAR,MATCH(B294,PT_DIFFERENTIATION_NTAR_ID,0))</f>
        <v/>
      </c>
      <c r="H294" s="1594"/>
      <c r="I294" s="1478"/>
      <c r="J294" s="1508"/>
      <c r="K294" s="1510"/>
      <c r="L294" s="1594" t="s">
        <v>230</v>
      </c>
      <c r="M294" s="224"/>
      <c r="N294" s="217"/>
      <c r="O294" s="1396"/>
      <c r="P294" s="1396"/>
    </row>
    <row r="295" spans="1:16" s="1664" customFormat="1" ht="18.75" hidden="1" customHeight="1">
      <c r="A295" s="1512"/>
      <c r="B295" s="1512"/>
      <c r="C295" s="253" t="s">
        <v>981</v>
      </c>
      <c r="D295" s="2278"/>
      <c r="E295" s="2062"/>
      <c r="F295" s="2196"/>
      <c r="G295" s="2230"/>
      <c r="H295" s="1270"/>
      <c r="I295" s="492" t="s">
        <v>980</v>
      </c>
      <c r="J295" s="429"/>
      <c r="K295" s="1270"/>
      <c r="L295" s="114"/>
      <c r="M295" s="224"/>
      <c r="N295" s="217"/>
      <c r="O295" s="1396"/>
      <c r="P295" s="1396"/>
    </row>
    <row r="296" spans="1:16" s="1664" customFormat="1" ht="0.75" hidden="1" customHeight="1">
      <c r="A296" s="1512"/>
      <c r="B296" s="1512"/>
      <c r="C296" s="253" t="s">
        <v>988</v>
      </c>
      <c r="D296" s="2278"/>
      <c r="E296" s="2062"/>
      <c r="F296" s="2196"/>
      <c r="G296" s="285"/>
      <c r="H296" s="1270"/>
      <c r="I296" s="492"/>
      <c r="J296" s="429"/>
      <c r="K296" s="1270"/>
      <c r="L296" s="114"/>
      <c r="M296" s="224"/>
      <c r="N296" s="217"/>
      <c r="O296" s="1396"/>
      <c r="P296" s="1396"/>
    </row>
    <row r="297" spans="1:16" s="1664" customFormat="1" ht="18.75" hidden="1" customHeight="1">
      <c r="A297" s="1512" t="s">
        <v>174</v>
      </c>
      <c r="B297" s="1512" t="s">
        <v>175</v>
      </c>
      <c r="C297" s="253"/>
      <c r="D297" s="2278"/>
      <c r="E297" s="2062"/>
      <c r="F297" s="2196" t="str">
        <f>INDEX(PT_DIFFERENTIATION_VTAR,MATCH(A297,PT_DIFFERENTIATION_VTAR_ID,0))</f>
        <v>Тариф на горячую воду (горячее водоснабжение)</v>
      </c>
      <c r="G297" s="2230" t="str">
        <f>INDEX(PT_DIFFERENTIATION_NTAR,MATCH(B297,PT_DIFFERENTIATION_NTAR_ID,0))</f>
        <v/>
      </c>
      <c r="H297" s="1594"/>
      <c r="I297" s="1478"/>
      <c r="J297" s="1508"/>
      <c r="K297" s="1510"/>
      <c r="L297" s="1594" t="s">
        <v>230</v>
      </c>
      <c r="M297" s="224"/>
      <c r="N297" s="217"/>
      <c r="O297" s="1396"/>
      <c r="P297" s="1396"/>
    </row>
    <row r="298" spans="1:16" s="1664" customFormat="1" ht="18.75" hidden="1" customHeight="1">
      <c r="A298" s="1512"/>
      <c r="B298" s="1512"/>
      <c r="C298" s="253" t="s">
        <v>981</v>
      </c>
      <c r="D298" s="2278"/>
      <c r="E298" s="2062"/>
      <c r="F298" s="2196"/>
      <c r="G298" s="2230"/>
      <c r="H298" s="1270"/>
      <c r="I298" s="492" t="s">
        <v>980</v>
      </c>
      <c r="J298" s="429"/>
      <c r="K298" s="1270"/>
      <c r="L298" s="114"/>
      <c r="M298" s="224"/>
      <c r="N298" s="217"/>
      <c r="O298" s="1396"/>
      <c r="P298" s="1396"/>
    </row>
    <row r="299" spans="1:16" s="1664" customFormat="1" ht="0.75" hidden="1" customHeight="1">
      <c r="A299" s="1512"/>
      <c r="B299" s="1512"/>
      <c r="C299" s="253" t="s">
        <v>988</v>
      </c>
      <c r="D299" s="2278"/>
      <c r="E299" s="2062"/>
      <c r="F299" s="2196"/>
      <c r="G299" s="285"/>
      <c r="H299" s="1270"/>
      <c r="I299" s="492"/>
      <c r="J299" s="429"/>
      <c r="K299" s="1270"/>
      <c r="L299" s="114"/>
      <c r="M299" s="224"/>
      <c r="N299" s="217"/>
      <c r="O299" s="1396"/>
      <c r="P299" s="1396"/>
    </row>
    <row r="300" spans="1:16" s="1664" customFormat="1" ht="18.75" hidden="1" customHeight="1">
      <c r="A300" s="1512" t="s">
        <v>179</v>
      </c>
      <c r="B300" s="1512" t="s">
        <v>180</v>
      </c>
      <c r="C300" s="253"/>
      <c r="D300" s="2278"/>
      <c r="E300" s="2062"/>
      <c r="F300" s="2196" t="str">
        <f>INDEX(PT_DIFFERENTIATION_VTAR,MATCH(A300,PT_DIFFERENTIATION_VTAR_ID,0))</f>
        <v>Тариф на транспортировку горячей воды</v>
      </c>
      <c r="G300" s="2230" t="str">
        <f>INDEX(PT_DIFFERENTIATION_NTAR,MATCH(B300,PT_DIFFERENTIATION_NTAR_ID,0))</f>
        <v/>
      </c>
      <c r="H300" s="1594"/>
      <c r="I300" s="1478"/>
      <c r="J300" s="1508"/>
      <c r="K300" s="1510"/>
      <c r="L300" s="1594" t="s">
        <v>230</v>
      </c>
      <c r="M300" s="224"/>
      <c r="N300" s="217"/>
      <c r="O300" s="1396"/>
      <c r="P300" s="1396"/>
    </row>
    <row r="301" spans="1:16" s="1664" customFormat="1" ht="18.75" hidden="1" customHeight="1">
      <c r="A301" s="1512"/>
      <c r="B301" s="1512"/>
      <c r="C301" s="253" t="s">
        <v>981</v>
      </c>
      <c r="D301" s="2278"/>
      <c r="E301" s="2062"/>
      <c r="F301" s="2196"/>
      <c r="G301" s="2230"/>
      <c r="H301" s="1270"/>
      <c r="I301" s="492" t="s">
        <v>980</v>
      </c>
      <c r="J301" s="429"/>
      <c r="K301" s="1270"/>
      <c r="L301" s="114"/>
      <c r="M301" s="224"/>
      <c r="N301" s="217"/>
      <c r="O301" s="1396"/>
      <c r="P301" s="1396"/>
    </row>
    <row r="302" spans="1:16" s="1664" customFormat="1" ht="0.75" hidden="1" customHeight="1">
      <c r="A302" s="1512"/>
      <c r="B302" s="1512"/>
      <c r="C302" s="253" t="s">
        <v>988</v>
      </c>
      <c r="D302" s="2278"/>
      <c r="E302" s="2062"/>
      <c r="F302" s="2196"/>
      <c r="G302" s="285"/>
      <c r="H302" s="1270"/>
      <c r="I302" s="492"/>
      <c r="J302" s="429"/>
      <c r="K302" s="1270"/>
      <c r="L302" s="114"/>
      <c r="M302" s="224"/>
      <c r="N302" s="217"/>
      <c r="O302" s="1396"/>
      <c r="P302" s="1396"/>
    </row>
    <row r="303" spans="1:16" s="1664" customFormat="1" ht="18.75" hidden="1" customHeight="1">
      <c r="A303" s="1512" t="s">
        <v>184</v>
      </c>
      <c r="B303" s="1512" t="s">
        <v>185</v>
      </c>
      <c r="C303" s="253"/>
      <c r="D303" s="2278"/>
      <c r="E303" s="2062"/>
      <c r="F303" s="2196"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30" t="str">
        <f>INDEX(PT_DIFFERENTIATION_NTAR,MATCH(B303,PT_DIFFERENTIATION_NTAR_ID,0))</f>
        <v/>
      </c>
      <c r="H303" s="1594"/>
      <c r="I303" s="1478"/>
      <c r="J303" s="1508"/>
      <c r="K303" s="1510"/>
      <c r="L303" s="1594" t="s">
        <v>230</v>
      </c>
      <c r="M303" s="224"/>
      <c r="N303" s="217"/>
      <c r="O303" s="1396"/>
      <c r="P303" s="1396"/>
    </row>
    <row r="304" spans="1:16" s="1664" customFormat="1" ht="18.75" hidden="1" customHeight="1">
      <c r="A304" s="1512"/>
      <c r="B304" s="1512"/>
      <c r="C304" s="253" t="s">
        <v>981</v>
      </c>
      <c r="D304" s="2278"/>
      <c r="E304" s="2062"/>
      <c r="F304" s="2196"/>
      <c r="G304" s="2230"/>
      <c r="H304" s="1270"/>
      <c r="I304" s="492" t="s">
        <v>980</v>
      </c>
      <c r="J304" s="429"/>
      <c r="K304" s="1270"/>
      <c r="L304" s="114"/>
      <c r="M304" s="224"/>
      <c r="N304" s="217"/>
      <c r="O304" s="1396"/>
      <c r="P304" s="1396"/>
    </row>
    <row r="305" spans="1:16" s="1664" customFormat="1" ht="0.75" hidden="1" customHeight="1">
      <c r="A305" s="1512"/>
      <c r="B305" s="1512"/>
      <c r="C305" s="253" t="s">
        <v>988</v>
      </c>
      <c r="D305" s="2278"/>
      <c r="E305" s="2062"/>
      <c r="F305" s="2196"/>
      <c r="G305" s="285"/>
      <c r="H305" s="1270"/>
      <c r="I305" s="492"/>
      <c r="J305" s="429"/>
      <c r="K305" s="1270"/>
      <c r="L305" s="114"/>
      <c r="M305" s="224"/>
      <c r="N305" s="217"/>
      <c r="O305" s="1396"/>
      <c r="P305" s="1396"/>
    </row>
    <row r="306" spans="1:16" s="1664" customFormat="1" ht="18.75" hidden="1" customHeight="1">
      <c r="A306" s="1512" t="s">
        <v>189</v>
      </c>
      <c r="B306" s="1512" t="s">
        <v>190</v>
      </c>
      <c r="C306" s="253"/>
      <c r="D306" s="2278"/>
      <c r="E306" s="2062"/>
      <c r="F306" s="2196" t="str">
        <f>INDEX(PT_DIFFERENTIATION_VTAR,MATCH(A306,PT_DIFFERENTIATION_VTAR_ID,0))</f>
        <v>Тариф на водоотведение</v>
      </c>
      <c r="G306" s="2230" t="str">
        <f>INDEX(PT_DIFFERENTIATION_NTAR,MATCH(B306,PT_DIFFERENTIATION_NTAR_ID,0))</f>
        <v/>
      </c>
      <c r="H306" s="1594"/>
      <c r="I306" s="1478"/>
      <c r="J306" s="1508"/>
      <c r="K306" s="1510"/>
      <c r="L306" s="1594" t="s">
        <v>230</v>
      </c>
      <c r="M306" s="224"/>
      <c r="N306" s="217"/>
      <c r="O306" s="1396"/>
      <c r="P306" s="1396"/>
    </row>
    <row r="307" spans="1:16" s="1664" customFormat="1" ht="18.75" hidden="1" customHeight="1">
      <c r="A307" s="1512"/>
      <c r="B307" s="1512"/>
      <c r="C307" s="253" t="s">
        <v>981</v>
      </c>
      <c r="D307" s="2278"/>
      <c r="E307" s="2062"/>
      <c r="F307" s="2196"/>
      <c r="G307" s="2230"/>
      <c r="H307" s="1270"/>
      <c r="I307" s="492" t="s">
        <v>980</v>
      </c>
      <c r="J307" s="429"/>
      <c r="K307" s="1270"/>
      <c r="L307" s="114"/>
      <c r="M307" s="224"/>
      <c r="N307" s="217"/>
      <c r="O307" s="1396"/>
      <c r="P307" s="1396"/>
    </row>
    <row r="308" spans="1:16" s="1664" customFormat="1" ht="0.75" hidden="1" customHeight="1">
      <c r="A308" s="1512"/>
      <c r="B308" s="1512"/>
      <c r="C308" s="253" t="s">
        <v>988</v>
      </c>
      <c r="D308" s="2278"/>
      <c r="E308" s="2062"/>
      <c r="F308" s="2196"/>
      <c r="G308" s="285"/>
      <c r="H308" s="1270"/>
      <c r="I308" s="492"/>
      <c r="J308" s="429"/>
      <c r="K308" s="1270"/>
      <c r="L308" s="114"/>
      <c r="M308" s="224"/>
      <c r="N308" s="217"/>
      <c r="O308" s="1396"/>
      <c r="P308" s="1396"/>
    </row>
    <row r="309" spans="1:16" s="1664" customFormat="1" ht="18.75" hidden="1" customHeight="1">
      <c r="A309" s="1512" t="s">
        <v>194</v>
      </c>
      <c r="B309" s="1512" t="s">
        <v>195</v>
      </c>
      <c r="C309" s="253"/>
      <c r="D309" s="2278"/>
      <c r="E309" s="2062"/>
      <c r="F309" s="2196" t="str">
        <f>INDEX(PT_DIFFERENTIATION_VTAR,MATCH(A309,PT_DIFFERENTIATION_VTAR_ID,0))</f>
        <v>Тариф на транспортировку сточных вод</v>
      </c>
      <c r="G309" s="2230" t="str">
        <f>INDEX(PT_DIFFERENTIATION_NTAR,MATCH(B309,PT_DIFFERENTIATION_NTAR_ID,0))</f>
        <v/>
      </c>
      <c r="H309" s="1594"/>
      <c r="I309" s="1478"/>
      <c r="J309" s="1508"/>
      <c r="K309" s="1510"/>
      <c r="L309" s="1594" t="s">
        <v>230</v>
      </c>
      <c r="M309" s="224"/>
      <c r="N309" s="217"/>
      <c r="O309" s="1396"/>
      <c r="P309" s="1396"/>
    </row>
    <row r="310" spans="1:16" s="1664" customFormat="1" ht="18.75" hidden="1" customHeight="1">
      <c r="A310" s="1512"/>
      <c r="B310" s="1512"/>
      <c r="C310" s="253" t="s">
        <v>981</v>
      </c>
      <c r="D310" s="2278"/>
      <c r="E310" s="2062"/>
      <c r="F310" s="2196"/>
      <c r="G310" s="2230"/>
      <c r="H310" s="1270"/>
      <c r="I310" s="492" t="s">
        <v>980</v>
      </c>
      <c r="J310" s="429"/>
      <c r="K310" s="1270"/>
      <c r="L310" s="114"/>
      <c r="M310" s="224"/>
      <c r="N310" s="217"/>
      <c r="O310" s="1396"/>
      <c r="P310" s="1396"/>
    </row>
    <row r="311" spans="1:16" s="1664" customFormat="1" ht="0.75" hidden="1" customHeight="1">
      <c r="A311" s="1512"/>
      <c r="B311" s="1512"/>
      <c r="C311" s="253" t="s">
        <v>988</v>
      </c>
      <c r="D311" s="2278"/>
      <c r="E311" s="2062"/>
      <c r="F311" s="2196"/>
      <c r="G311" s="285"/>
      <c r="H311" s="1270"/>
      <c r="I311" s="492"/>
      <c r="J311" s="429"/>
      <c r="K311" s="1270"/>
      <c r="L311" s="114"/>
      <c r="M311" s="224"/>
      <c r="N311" s="217"/>
      <c r="O311" s="1396"/>
      <c r="P311" s="1396"/>
    </row>
    <row r="312" spans="1:16" s="1664" customFormat="1" ht="18.75" hidden="1" customHeight="1">
      <c r="A312" s="1512" t="s">
        <v>199</v>
      </c>
      <c r="B312" s="1512" t="s">
        <v>200</v>
      </c>
      <c r="C312" s="253"/>
      <c r="D312" s="2278"/>
      <c r="E312" s="2062"/>
      <c r="F312" s="2196" t="str">
        <f>INDEX(PT_DIFFERENTIATION_VTAR,MATCH(A312,PT_DIFFERENTIATION_VTAR_ID,0))</f>
        <v>Тариф на подключение (технологическое присоединение) к централизованной системе водоотведения</v>
      </c>
      <c r="G312" s="2230" t="str">
        <f>INDEX(PT_DIFFERENTIATION_NTAR,MATCH(B312,PT_DIFFERENTIATION_NTAR_ID,0))</f>
        <v/>
      </c>
      <c r="H312" s="1594"/>
      <c r="I312" s="1478"/>
      <c r="J312" s="1508"/>
      <c r="K312" s="1510"/>
      <c r="L312" s="1594" t="s">
        <v>230</v>
      </c>
      <c r="M312" s="224"/>
      <c r="N312" s="217"/>
      <c r="O312" s="1396"/>
      <c r="P312" s="1396"/>
    </row>
    <row r="313" spans="1:16" s="1664" customFormat="1" ht="18.75" hidden="1" customHeight="1">
      <c r="A313" s="1512"/>
      <c r="B313" s="1512"/>
      <c r="C313" s="253" t="s">
        <v>981</v>
      </c>
      <c r="D313" s="2278"/>
      <c r="E313" s="2062"/>
      <c r="F313" s="2196"/>
      <c r="G313" s="2230"/>
      <c r="H313" s="1270"/>
      <c r="I313" s="492" t="s">
        <v>980</v>
      </c>
      <c r="J313" s="429"/>
      <c r="K313" s="1270"/>
      <c r="L313" s="114"/>
      <c r="M313" s="224"/>
      <c r="N313" s="217"/>
      <c r="O313" s="1396"/>
      <c r="P313" s="1396"/>
    </row>
    <row r="314" spans="1:16" s="1664" customFormat="1" ht="0.75" customHeight="1">
      <c r="A314" s="1512"/>
      <c r="B314" s="1512"/>
      <c r="C314" s="253" t="s">
        <v>988</v>
      </c>
      <c r="D314" s="2278"/>
      <c r="E314" s="2062"/>
      <c r="F314" s="2196"/>
      <c r="G314" s="285"/>
      <c r="H314" s="1270"/>
      <c r="I314" s="492"/>
      <c r="J314" s="429"/>
      <c r="K314" s="1270"/>
      <c r="L314" s="114"/>
      <c r="M314" s="224"/>
      <c r="N314" s="217"/>
      <c r="O314" s="1396"/>
      <c r="P314" s="1396"/>
    </row>
    <row r="315" spans="1:16" s="1810" customFormat="1" ht="3" customHeight="1">
      <c r="A315" s="1512"/>
      <c r="B315" s="1512"/>
      <c r="C315" s="1513"/>
      <c r="E315" s="287"/>
      <c r="F315" s="287"/>
      <c r="G315" s="287"/>
      <c r="H315" s="287"/>
      <c r="I315" s="287"/>
      <c r="J315" s="287"/>
      <c r="K315" s="287"/>
      <c r="L315" s="287"/>
      <c r="M315" s="287"/>
      <c r="O315" s="96"/>
      <c r="P315" s="96"/>
    </row>
    <row r="316" spans="1:16" ht="24.75" customHeight="1">
      <c r="E316" s="102"/>
      <c r="F316" s="2110"/>
      <c r="G316" s="2110"/>
      <c r="H316" s="2110"/>
      <c r="I316" s="2110"/>
      <c r="J316" s="2110"/>
      <c r="K316" s="2110"/>
      <c r="L316" s="2110"/>
      <c r="M316" s="2110"/>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sheetPr>
    <tabColor theme="6" tint="0.39997558519241921"/>
  </sheetPr>
  <dimension ref="A1:Q16"/>
  <sheetViews>
    <sheetView showGridLines="0" topLeftCell="C4" zoomScale="90" workbookViewId="0"/>
  </sheetViews>
  <sheetFormatPr defaultColWidth="10.5703125" defaultRowHeight="14.25" customHeight="1"/>
  <cols>
    <col min="1" max="1" width="9.140625" style="1813" hidden="1" customWidth="1"/>
    <col min="2" max="2" width="9.140625" style="1806" hidden="1" customWidth="1"/>
    <col min="3" max="3" width="3.7109375" style="1695" customWidth="1"/>
    <col min="4" max="4" width="6.28515625" style="1812" customWidth="1"/>
    <col min="5" max="5" width="53.85546875" style="1812" customWidth="1"/>
    <col min="6" max="7" width="35.7109375" style="1812" customWidth="1"/>
    <col min="8" max="8" width="89.5703125" style="1812" customWidth="1"/>
    <col min="9" max="9" width="10.5703125" style="1812"/>
    <col min="10" max="11" width="10.5703125" style="1807"/>
    <col min="12" max="17" width="10.5703125" style="1812"/>
  </cols>
  <sheetData>
    <row r="1" spans="1:17" ht="14.25" hidden="1" customHeight="1">
      <c r="N1" s="135"/>
      <c r="O1" s="135"/>
      <c r="Q1" s="135"/>
    </row>
    <row r="2" spans="1:17" s="1664" customFormat="1" ht="18.75" hidden="1" customHeight="1">
      <c r="A2" s="20"/>
      <c r="B2" s="929"/>
      <c r="C2" s="1470" t="s">
        <v>56</v>
      </c>
      <c r="D2" s="1441"/>
      <c r="E2" s="1450"/>
      <c r="F2" s="137"/>
      <c r="G2" s="930"/>
      <c r="H2" s="258"/>
      <c r="I2" s="1396"/>
      <c r="J2" s="1396"/>
    </row>
    <row r="3" spans="1:17" ht="14.25" hidden="1" customHeight="1"/>
    <row r="4" spans="1:17" ht="6" customHeight="1">
      <c r="C4" s="261"/>
      <c r="D4" s="246"/>
      <c r="E4" s="246"/>
      <c r="F4" s="246"/>
      <c r="G4" s="9"/>
      <c r="H4" s="9"/>
    </row>
    <row r="5" spans="1:17" ht="33" customHeight="1">
      <c r="C5" s="261"/>
      <c r="D5" s="202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28"/>
      <c r="F5" s="2028"/>
      <c r="G5" s="2029"/>
      <c r="H5" s="145"/>
    </row>
    <row r="6" spans="1:17" s="1664" customFormat="1" ht="17.25" customHeight="1">
      <c r="A6" s="1438"/>
      <c r="B6" s="929"/>
      <c r="C6" s="261"/>
      <c r="D6" s="2082" t="e">
        <f>IF(org=0,"Не определено",org)</f>
        <v>#REF!</v>
      </c>
      <c r="E6" s="2083"/>
      <c r="F6" s="2083"/>
      <c r="G6" s="2084"/>
      <c r="H6" s="145"/>
      <c r="J6" s="1396"/>
      <c r="K6" s="1396"/>
    </row>
    <row r="7" spans="1:17" ht="14.25" customHeight="1">
      <c r="C7" s="261"/>
      <c r="D7" s="246"/>
      <c r="E7" s="279"/>
      <c r="F7" s="279"/>
      <c r="G7" s="577"/>
      <c r="H7" s="93"/>
    </row>
    <row r="8" spans="1:17" ht="14.25" customHeight="1">
      <c r="C8" s="261"/>
      <c r="D8" s="2068" t="s">
        <v>224</v>
      </c>
      <c r="E8" s="2068"/>
      <c r="F8" s="2068"/>
      <c r="G8" s="2068"/>
      <c r="H8" s="2271" t="s">
        <v>225</v>
      </c>
    </row>
    <row r="9" spans="1:17" ht="14.25" customHeight="1">
      <c r="C9" s="261"/>
      <c r="D9" s="276" t="s">
        <v>22</v>
      </c>
      <c r="E9" s="24" t="s">
        <v>226</v>
      </c>
      <c r="F9" s="24" t="s">
        <v>227</v>
      </c>
      <c r="G9" s="24" t="s">
        <v>316</v>
      </c>
      <c r="H9" s="2271"/>
    </row>
    <row r="10" spans="1:17" ht="33.75" customHeight="1">
      <c r="A10" s="225"/>
      <c r="C10" s="261"/>
      <c r="D10" s="53" t="s">
        <v>43</v>
      </c>
      <c r="E10" s="16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37"/>
      <c r="G10" s="113"/>
      <c r="H10" s="2022" t="s">
        <v>989</v>
      </c>
    </row>
    <row r="11" spans="1:17" ht="33.75" customHeight="1">
      <c r="A11" s="225"/>
      <c r="C11" s="261"/>
      <c r="D11" s="53" t="s">
        <v>44</v>
      </c>
      <c r="E11" s="16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37"/>
      <c r="G11" s="113"/>
      <c r="H11" s="2023"/>
    </row>
    <row r="12" spans="1:17" ht="14.25" customHeight="1">
      <c r="A12" s="20"/>
      <c r="C12" s="277"/>
      <c r="D12" s="53" t="s">
        <v>24</v>
      </c>
      <c r="E12" s="278" t="str">
        <f>"Сведения о планировании закупочных процедур"&amp;IF(TEMPLATE_SPHERE="TKO"," &lt;1&gt;","")</f>
        <v>Сведения о планировании закупочных процедур</v>
      </c>
      <c r="F12" s="137"/>
      <c r="G12" s="113"/>
      <c r="H12" s="202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31"/>
      <c r="K12" s="258"/>
    </row>
    <row r="13" spans="1:17" ht="14.25" customHeight="1">
      <c r="A13" s="20"/>
      <c r="C13" s="277"/>
      <c r="D13" s="53" t="s">
        <v>25</v>
      </c>
      <c r="E13" s="278" t="str">
        <f>"Сведения о результатах проведения закупочных процедур"&amp;IF(TEMPLATE_SPHERE="TKO"," &lt;1&gt;","")</f>
        <v>Сведения о результатах проведения закупочных процедур</v>
      </c>
      <c r="F13" s="137"/>
      <c r="G13" s="113"/>
      <c r="H13" s="2023"/>
      <c r="I13" s="231"/>
      <c r="K13" s="258"/>
    </row>
    <row r="14" spans="1:17" ht="14.25" customHeight="1">
      <c r="A14" s="225"/>
      <c r="C14" s="261"/>
      <c r="D14" s="229"/>
      <c r="E14" s="280" t="s">
        <v>957</v>
      </c>
      <c r="F14" s="230"/>
      <c r="G14" s="101"/>
      <c r="H14" s="2024"/>
    </row>
    <row r="15" spans="1:17" s="1664" customFormat="1" ht="14.25" customHeight="1">
      <c r="A15" s="225"/>
      <c r="B15" s="929"/>
      <c r="C15" s="261"/>
      <c r="D15" s="281"/>
      <c r="E15" s="1445"/>
      <c r="F15" s="1446"/>
      <c r="G15" s="1447"/>
      <c r="H15" s="1448"/>
      <c r="J15" s="1396"/>
      <c r="K15" s="1396"/>
    </row>
    <row r="16" spans="1:17" ht="14.25" customHeight="1">
      <c r="D16" s="1449"/>
      <c r="E16" s="2110"/>
      <c r="F16" s="2110"/>
      <c r="G16" s="2110"/>
      <c r="H16" s="211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sheetPr>
    <tabColor theme="2" tint="-9.9978637043366805E-2"/>
  </sheetPr>
  <dimension ref="A1:W29"/>
  <sheetViews>
    <sheetView showGridLines="0" topLeftCell="C4" zoomScale="90" workbookViewId="0">
      <selection activeCell="L21" sqref="L21"/>
    </sheetView>
  </sheetViews>
  <sheetFormatPr defaultColWidth="10.5703125" defaultRowHeight="15" customHeight="1"/>
  <cols>
    <col min="1" max="1" width="9.140625" style="1676" hidden="1" customWidth="1"/>
    <col min="2" max="2" width="9.140625" style="1678" hidden="1" customWidth="1"/>
    <col min="3" max="3" width="4.7109375" style="1790" customWidth="1"/>
    <col min="4" max="4" width="6.28515625" style="1678" customWidth="1"/>
    <col min="5" max="5" width="47.85546875" style="1678" customWidth="1"/>
    <col min="6" max="6" width="9.5703125" style="1678" customWidth="1"/>
    <col min="7" max="7" width="25.7109375" style="1625" hidden="1" customWidth="1"/>
    <col min="8" max="8" width="34" style="1625" hidden="1" customWidth="1"/>
    <col min="9" max="9" width="25.7109375" style="1678" customWidth="1"/>
    <col min="10" max="10" width="34" style="1678" customWidth="1"/>
    <col min="11" max="11" width="25.7109375" style="1708" customWidth="1"/>
    <col min="12" max="12" width="34" style="1708" customWidth="1"/>
    <col min="13" max="13" width="50.85546875" style="1626" customWidth="1"/>
    <col min="14" max="22" width="10.5703125" style="1678"/>
    <col min="23" max="23" width="10.5703125" style="1769"/>
  </cols>
  <sheetData>
    <row r="1" spans="1:23" s="1626" customFormat="1" ht="15" hidden="1" customHeight="1">
      <c r="C1" s="512"/>
      <c r="G1" s="297">
        <v>4</v>
      </c>
      <c r="I1" s="297">
        <v>4</v>
      </c>
      <c r="K1" s="1715">
        <v>4</v>
      </c>
      <c r="L1" s="1715"/>
      <c r="W1" s="299"/>
    </row>
    <row r="2" spans="1:23" s="1627" customFormat="1" ht="15" hidden="1" customHeight="1">
      <c r="A2" s="245"/>
      <c r="C2" s="76"/>
      <c r="D2" s="228"/>
      <c r="E2" s="513"/>
      <c r="F2" s="390"/>
      <c r="G2" s="457"/>
      <c r="H2" s="457"/>
      <c r="I2" s="457"/>
      <c r="J2" s="457"/>
      <c r="K2" s="1814"/>
      <c r="L2" s="1814"/>
      <c r="W2" s="514"/>
    </row>
    <row r="3" spans="1:23" s="1626" customFormat="1" ht="15" hidden="1" customHeight="1">
      <c r="C3" s="512"/>
      <c r="K3" s="1715"/>
      <c r="L3" s="1715"/>
      <c r="W3" s="299"/>
    </row>
    <row r="4" spans="1:23" ht="15" customHeight="1">
      <c r="C4" s="76"/>
      <c r="D4" s="377"/>
      <c r="E4" s="377"/>
      <c r="F4" s="377"/>
      <c r="G4" s="377"/>
      <c r="H4" s="377"/>
      <c r="I4" s="377"/>
      <c r="J4" s="377"/>
    </row>
    <row r="5" spans="1:23" ht="63" customHeight="1">
      <c r="C5" s="76"/>
      <c r="D5" s="2088" t="s">
        <v>990</v>
      </c>
      <c r="E5" s="2088"/>
      <c r="F5" s="2088"/>
      <c r="G5" s="2088"/>
      <c r="H5" s="2088"/>
      <c r="I5" s="2088"/>
      <c r="J5" s="2088"/>
      <c r="K5" s="1719"/>
      <c r="L5" s="1719"/>
    </row>
    <row r="6" spans="1:23" ht="15" customHeight="1">
      <c r="C6" s="76"/>
      <c r="D6" s="2059" t="e">
        <f>IF(org=0,"Не определено",org)</f>
        <v>#REF!</v>
      </c>
      <c r="E6" s="2059"/>
      <c r="F6" s="2059"/>
      <c r="G6" s="2059"/>
      <c r="H6" s="2059"/>
      <c r="I6" s="2059"/>
      <c r="J6" s="2059"/>
      <c r="K6" s="1720"/>
      <c r="L6" s="1720"/>
      <c r="M6" s="395"/>
    </row>
    <row r="7" spans="1:23" ht="15" customHeight="1">
      <c r="C7" s="76"/>
      <c r="D7" s="577"/>
      <c r="E7" s="377"/>
      <c r="F7" s="377"/>
      <c r="G7" s="395">
        <v>22</v>
      </c>
      <c r="I7" s="395">
        <v>1</v>
      </c>
      <c r="J7" s="577"/>
      <c r="K7" s="1715" t="s">
        <v>1</v>
      </c>
    </row>
    <row r="8" spans="1:23" s="1625" customFormat="1" ht="0.75" customHeight="1">
      <c r="A8" s="583"/>
      <c r="C8" s="76"/>
      <c r="D8" s="377"/>
      <c r="E8" s="377"/>
      <c r="F8" s="377"/>
      <c r="G8" s="395"/>
      <c r="H8" s="577"/>
      <c r="I8" s="395" t="s">
        <v>51</v>
      </c>
      <c r="J8" s="577"/>
      <c r="K8" s="1715" t="s">
        <v>57</v>
      </c>
      <c r="L8" s="1759"/>
      <c r="M8" s="297"/>
      <c r="W8" s="515"/>
    </row>
    <row r="9" spans="1:23" ht="15" customHeight="1">
      <c r="C9" s="76"/>
      <c r="D9" s="538"/>
      <c r="E9" s="2189" t="s">
        <v>39</v>
      </c>
      <c r="F9" s="2190"/>
      <c r="G9" s="2281" t="str">
        <f>IF(G8="","",INDEX(DIFFERENTIATION_UNMERGE_VD,MATCH(G8,DIFFERENTIATION_ID_DIFF,0)))</f>
        <v/>
      </c>
      <c r="H9" s="2282"/>
      <c r="I9" s="2281" t="e">
        <f>IF(I8="","",INDEX(DIFFERENTIATION_UNMERGE_VD,MATCH(I8,DIFFERENTIATION_ID_DIFF,0)))</f>
        <v>#REF!</v>
      </c>
      <c r="J9" s="2282"/>
      <c r="K9" s="2281" t="e">
        <f>IF(K8="","",INDEX(DIFFERENTIATION_UNMERGE_VD,MATCH(K8,DIFFERENTIATION_ID_DIFF,0)))</f>
        <v>#REF!</v>
      </c>
      <c r="L9" s="2282"/>
      <c r="M9" s="2036" t="s">
        <v>225</v>
      </c>
    </row>
    <row r="10" spans="1:23" s="1625" customFormat="1" ht="15" customHeight="1">
      <c r="A10" s="583"/>
      <c r="C10" s="76"/>
      <c r="D10" s="538"/>
      <c r="E10" s="2189" t="s">
        <v>482</v>
      </c>
      <c r="F10" s="2190"/>
      <c r="G10" s="2281" t="str">
        <f>IF(G8="","",INDEX(DIFFERENTIATION_UNMERGE_AREA,MATCH(G8,DIFFERENTIATION_ID_DIFF,0)))</f>
        <v/>
      </c>
      <c r="H10" s="2282"/>
      <c r="I10" s="2281" t="e">
        <f>IF(I8="","",INDEX(DIFFERENTIATION_UNMERGE_AREA,MATCH(I8,DIFFERENTIATION_ID_DIFF,0)))</f>
        <v>#REF!</v>
      </c>
      <c r="J10" s="2282"/>
      <c r="K10" s="2281" t="e">
        <f>IF(K8="","",INDEX(DIFFERENTIATION_UNMERGE_AREA,MATCH(K8,DIFFERENTIATION_ID_DIFF,0)))</f>
        <v>#REF!</v>
      </c>
      <c r="L10" s="2282"/>
      <c r="M10" s="2041"/>
      <c r="W10" s="515"/>
    </row>
    <row r="11" spans="1:23" s="1625" customFormat="1" ht="15" customHeight="1">
      <c r="A11" s="583"/>
      <c r="C11" s="76"/>
      <c r="D11" s="538"/>
      <c r="E11" s="2189" t="s">
        <v>483</v>
      </c>
      <c r="F11" s="2190"/>
      <c r="G11" s="2281" t="str">
        <f>IF(G8="","",INDEX(DIFFERENTIATION_UNMERGE_SYSTEM,MATCH(G8,DIFFERENTIATION_ID_DIFF,0)))</f>
        <v/>
      </c>
      <c r="H11" s="2282"/>
      <c r="I11" s="2281" t="e">
        <f>IF(I8="","",INDEX(DIFFERENTIATION_UNMERGE_SYSTEM,MATCH(I8,DIFFERENTIATION_ID_DIFF,0)))</f>
        <v>#REF!</v>
      </c>
      <c r="J11" s="2282"/>
      <c r="K11" s="2281" t="e">
        <f>IF(K8="","",INDEX(DIFFERENTIATION_UNMERGE_SYSTEM,MATCH(K8,DIFFERENTIATION_ID_DIFF,0)))</f>
        <v>#REF!</v>
      </c>
      <c r="L11" s="2282"/>
      <c r="M11" s="2041"/>
      <c r="W11" s="515"/>
    </row>
    <row r="12" spans="1:23" s="1625" customFormat="1" ht="15" customHeight="1">
      <c r="A12" s="583"/>
      <c r="C12" s="76"/>
      <c r="D12" s="2191" t="s">
        <v>224</v>
      </c>
      <c r="E12" s="2192"/>
      <c r="F12" s="2192"/>
      <c r="G12" s="677"/>
      <c r="H12" s="677"/>
      <c r="I12" s="677"/>
      <c r="J12" s="677"/>
      <c r="K12" s="1724"/>
      <c r="L12" s="1724"/>
      <c r="M12" s="2041"/>
      <c r="W12" s="515"/>
    </row>
    <row r="13" spans="1:23" ht="33.75" customHeight="1">
      <c r="C13" s="76"/>
      <c r="D13" s="614" t="s">
        <v>22</v>
      </c>
      <c r="E13" s="615" t="s">
        <v>226</v>
      </c>
      <c r="F13" s="615" t="s">
        <v>484</v>
      </c>
      <c r="G13" s="616" t="s">
        <v>227</v>
      </c>
      <c r="H13" s="615" t="s">
        <v>316</v>
      </c>
      <c r="I13" s="616" t="s">
        <v>227</v>
      </c>
      <c r="J13" s="615" t="s">
        <v>316</v>
      </c>
      <c r="K13" s="1788" t="s">
        <v>227</v>
      </c>
      <c r="L13" s="1709" t="s">
        <v>316</v>
      </c>
      <c r="M13" s="2093"/>
    </row>
    <row r="14" spans="1:23" ht="15" hidden="1" customHeight="1">
      <c r="C14" s="76"/>
      <c r="D14" s="444" t="s">
        <v>43</v>
      </c>
      <c r="E14" s="444" t="s">
        <v>44</v>
      </c>
      <c r="F14" s="444" t="s">
        <v>24</v>
      </c>
      <c r="G14" s="500" t="str">
        <f>G1&amp;".1"</f>
        <v>4.1</v>
      </c>
      <c r="H14" s="500"/>
      <c r="I14" s="500" t="str">
        <f>I1&amp;".1"</f>
        <v>4.1</v>
      </c>
      <c r="J14" s="500"/>
      <c r="K14" s="1789" t="str">
        <f>K1&amp;".1"</f>
        <v>4.1</v>
      </c>
      <c r="L14" s="1789"/>
      <c r="M14" s="165"/>
    </row>
    <row r="15" spans="1:23" ht="22.5" hidden="1" customHeight="1">
      <c r="A15" s="373"/>
      <c r="C15" s="391"/>
      <c r="D15" s="389">
        <v>1</v>
      </c>
      <c r="E15" s="516" t="s">
        <v>642</v>
      </c>
      <c r="F15" s="389" t="s">
        <v>643</v>
      </c>
      <c r="G15" s="517"/>
      <c r="H15" s="517"/>
      <c r="I15" s="517"/>
      <c r="J15" s="517"/>
      <c r="K15" s="1815"/>
      <c r="L15" s="1815"/>
      <c r="M15" s="165" t="s">
        <v>644</v>
      </c>
    </row>
    <row r="16" spans="1:23" ht="22.5" hidden="1" customHeight="1">
      <c r="A16" s="373"/>
      <c r="C16" s="391"/>
      <c r="D16" s="389">
        <v>2</v>
      </c>
      <c r="E16" s="156" t="s">
        <v>645</v>
      </c>
      <c r="F16" s="389" t="s">
        <v>646</v>
      </c>
      <c r="G16" s="517"/>
      <c r="H16" s="517"/>
      <c r="I16" s="517"/>
      <c r="J16" s="517"/>
      <c r="K16" s="1815"/>
      <c r="L16" s="1815"/>
      <c r="M16" s="165" t="s">
        <v>647</v>
      </c>
    </row>
    <row r="17" spans="1:13" ht="123.75" hidden="1" customHeight="1">
      <c r="A17" s="373"/>
      <c r="C17" s="391"/>
      <c r="D17" s="389">
        <v>3</v>
      </c>
      <c r="E17" s="156" t="s">
        <v>991</v>
      </c>
      <c r="F17" s="389" t="s">
        <v>230</v>
      </c>
      <c r="G17" s="517"/>
      <c r="H17" s="517"/>
      <c r="I17" s="517"/>
      <c r="J17" s="517"/>
      <c r="K17" s="1815"/>
      <c r="L17" s="1815"/>
      <c r="M17" s="165" t="s">
        <v>992</v>
      </c>
    </row>
    <row r="18" spans="1:13" ht="45" customHeight="1">
      <c r="A18" s="373"/>
      <c r="C18" s="391"/>
      <c r="D18" s="389">
        <v>4</v>
      </c>
      <c r="E18" s="156" t="s">
        <v>648</v>
      </c>
      <c r="F18" s="389" t="s">
        <v>230</v>
      </c>
      <c r="G18" s="617" t="s">
        <v>230</v>
      </c>
      <c r="H18" s="618" t="s">
        <v>230</v>
      </c>
      <c r="I18" s="389" t="s">
        <v>230</v>
      </c>
      <c r="J18" s="436" t="s">
        <v>230</v>
      </c>
      <c r="K18" s="1709" t="s">
        <v>230</v>
      </c>
      <c r="L18" s="1768" t="s">
        <v>230</v>
      </c>
      <c r="M18" s="165" t="s">
        <v>993</v>
      </c>
    </row>
    <row r="19" spans="1:13" ht="33.75" customHeight="1">
      <c r="A19" s="373"/>
      <c r="C19" s="391"/>
      <c r="D19" s="397" t="s">
        <v>586</v>
      </c>
      <c r="E19" s="417" t="s">
        <v>650</v>
      </c>
      <c r="F19" s="389" t="s">
        <v>651</v>
      </c>
      <c r="G19" s="621"/>
      <c r="H19" s="23"/>
      <c r="I19" s="621">
        <v>0</v>
      </c>
      <c r="J19" s="622" t="s">
        <v>302</v>
      </c>
      <c r="K19" s="1765">
        <v>0</v>
      </c>
      <c r="L19" s="1816" t="s">
        <v>302</v>
      </c>
      <c r="M19" s="518"/>
    </row>
    <row r="20" spans="1:13" ht="33.75" customHeight="1">
      <c r="A20" s="373"/>
      <c r="C20" s="391"/>
      <c r="D20" s="397" t="s">
        <v>629</v>
      </c>
      <c r="E20" s="417" t="s">
        <v>652</v>
      </c>
      <c r="F20" s="389" t="s">
        <v>653</v>
      </c>
      <c r="G20" s="621"/>
      <c r="H20" s="23"/>
      <c r="I20" s="621">
        <v>0</v>
      </c>
      <c r="J20" s="1817" t="s">
        <v>302</v>
      </c>
      <c r="K20" s="1765">
        <v>0</v>
      </c>
      <c r="L20" s="1816" t="s">
        <v>302</v>
      </c>
      <c r="M20" s="518"/>
    </row>
    <row r="21" spans="1:13" ht="45" customHeight="1">
      <c r="A21" s="373"/>
      <c r="C21" s="391"/>
      <c r="D21" s="397" t="s">
        <v>632</v>
      </c>
      <c r="E21" s="417" t="s">
        <v>654</v>
      </c>
      <c r="F21" s="389" t="s">
        <v>489</v>
      </c>
      <c r="G21" s="519"/>
      <c r="H21" s="23"/>
      <c r="I21" s="519">
        <v>0</v>
      </c>
      <c r="J21" s="1817" t="s">
        <v>302</v>
      </c>
      <c r="K21" s="1766">
        <v>0</v>
      </c>
      <c r="L21" s="1816" t="s">
        <v>302</v>
      </c>
      <c r="M21" s="518"/>
    </row>
    <row r="22" spans="1:13" ht="67.5" hidden="1" customHeight="1">
      <c r="A22" s="373"/>
      <c r="C22" s="391"/>
      <c r="D22" s="389">
        <v>5</v>
      </c>
      <c r="E22" s="156" t="s">
        <v>994</v>
      </c>
      <c r="F22" s="389" t="s">
        <v>476</v>
      </c>
      <c r="G22" s="520"/>
      <c r="H22" s="521"/>
      <c r="I22" s="520"/>
      <c r="J22" s="521"/>
      <c r="K22" s="1818"/>
      <c r="L22" s="1819"/>
      <c r="M22" s="165" t="s">
        <v>995</v>
      </c>
    </row>
    <row r="23" spans="1:13" ht="33.75" hidden="1" customHeight="1">
      <c r="C23" s="324"/>
      <c r="D23" s="389">
        <v>6</v>
      </c>
      <c r="E23" s="156" t="s">
        <v>996</v>
      </c>
      <c r="F23" s="389" t="s">
        <v>997</v>
      </c>
      <c r="G23" s="520"/>
      <c r="H23" s="520"/>
      <c r="I23" s="520"/>
      <c r="J23" s="520"/>
      <c r="K23" s="1818"/>
      <c r="L23" s="1818"/>
      <c r="M23" s="165" t="s">
        <v>998</v>
      </c>
    </row>
    <row r="29" spans="1:13" ht="15" customHeight="1">
      <c r="J29" s="623"/>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hyperlinks>
    <hyperlink ref="J19" r:id="rId1"/>
    <hyperlink ref="L19" r:id="rId2"/>
    <hyperlink ref="J20" r:id="rId3"/>
    <hyperlink ref="L20" r:id="rId4"/>
    <hyperlink ref="J21" r:id="rId5"/>
    <hyperlink ref="L21" r:id="rId6"/>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rgb="FFEAEBEE"/>
    <pageSetUpPr fitToPage="1"/>
  </sheetPr>
  <dimension ref="A1:L15"/>
  <sheetViews>
    <sheetView showGridLines="0" topLeftCell="C4" zoomScale="90" workbookViewId="0"/>
  </sheetViews>
  <sheetFormatPr defaultColWidth="9.140625" defaultRowHeight="14.25" customHeight="1"/>
  <cols>
    <col min="1" max="1" width="9.140625" style="1820" hidden="1"/>
    <col min="2" max="2" width="9.140625" style="1821" hidden="1"/>
    <col min="3" max="3" width="3.7109375" style="1822" customWidth="1"/>
    <col min="4" max="4" width="7" style="1825" customWidth="1"/>
    <col min="5" max="5" width="23.140625" style="1825" customWidth="1"/>
    <col min="6" max="6" width="16" style="1825" customWidth="1"/>
    <col min="7" max="7" width="14.85546875" style="1825" customWidth="1"/>
    <col min="8" max="8" width="47.85546875" style="1825" customWidth="1"/>
    <col min="9" max="9" width="115.7109375" style="1825" customWidth="1"/>
    <col min="10" max="10" width="3.7109375" style="1825" customWidth="1"/>
    <col min="11" max="12" width="9.140625" style="1825"/>
  </cols>
  <sheetData>
    <row r="1" spans="1:12" ht="14.25" hidden="1" customHeight="1"/>
    <row r="2" spans="1:12" ht="14.25" hidden="1" customHeight="1"/>
    <row r="3" spans="1:12" ht="14.25" hidden="1" customHeight="1"/>
    <row r="4" spans="1:12" ht="3" customHeight="1"/>
    <row r="5" spans="1:12" s="1636" customFormat="1" ht="30" customHeight="1">
      <c r="A5" s="30"/>
      <c r="C5" s="12"/>
      <c r="D5" s="1955" t="s">
        <v>999</v>
      </c>
      <c r="E5" s="1955"/>
      <c r="F5" s="1955"/>
      <c r="G5" s="1955"/>
      <c r="H5" s="1955"/>
      <c r="I5" s="144"/>
    </row>
    <row r="6" spans="1:12" ht="3" hidden="1" customHeight="1">
      <c r="D6" s="34"/>
      <c r="E6" s="34"/>
      <c r="F6" s="34"/>
      <c r="G6" s="34"/>
      <c r="H6" s="34"/>
      <c r="I6" s="34"/>
    </row>
    <row r="7" spans="1:12" s="1820" customFormat="1" ht="14.25" customHeight="1">
      <c r="B7" s="31"/>
      <c r="C7" s="32"/>
      <c r="D7" s="35"/>
      <c r="E7" s="35"/>
      <c r="F7" s="35"/>
      <c r="G7" s="35"/>
      <c r="H7" s="577"/>
      <c r="I7" s="35"/>
      <c r="J7" s="36"/>
    </row>
    <row r="8" spans="1:12" ht="14.25" customHeight="1">
      <c r="D8" s="2068" t="s">
        <v>224</v>
      </c>
      <c r="E8" s="2068"/>
      <c r="F8" s="2068"/>
      <c r="G8" s="2068"/>
      <c r="H8" s="2068"/>
      <c r="I8" s="2068" t="s">
        <v>225</v>
      </c>
    </row>
    <row r="9" spans="1:12" ht="27.75" customHeight="1">
      <c r="D9" s="2068" t="s">
        <v>22</v>
      </c>
      <c r="E9" s="2068" t="s">
        <v>1000</v>
      </c>
      <c r="F9" s="2068"/>
      <c r="G9" s="2068"/>
      <c r="H9" s="2068"/>
      <c r="I9" s="2068"/>
    </row>
    <row r="10" spans="1:12" ht="22.5" customHeight="1">
      <c r="D10" s="2068"/>
      <c r="E10" s="39" t="s">
        <v>1001</v>
      </c>
      <c r="F10" s="39" t="s">
        <v>1002</v>
      </c>
      <c r="G10" s="39" t="s">
        <v>1003</v>
      </c>
      <c r="H10" s="39" t="s">
        <v>316</v>
      </c>
      <c r="I10" s="2068"/>
    </row>
    <row r="11" spans="1:12" ht="12" hidden="1" customHeight="1">
      <c r="D11" s="10" t="s">
        <v>43</v>
      </c>
      <c r="E11" s="10" t="s">
        <v>25</v>
      </c>
      <c r="F11" s="10" t="s">
        <v>45</v>
      </c>
      <c r="G11" s="10" t="s">
        <v>26</v>
      </c>
      <c r="H11" s="10" t="s">
        <v>27</v>
      </c>
      <c r="I11" s="10" t="s">
        <v>46</v>
      </c>
    </row>
    <row r="12" spans="1:12" s="1823" customFormat="1" ht="24.75" customHeight="1">
      <c r="A12" s="51" t="s">
        <v>24</v>
      </c>
      <c r="B12" s="37" t="s">
        <v>1</v>
      </c>
      <c r="C12" s="38"/>
      <c r="D12" s="40" t="s">
        <v>43</v>
      </c>
      <c r="E12" s="271"/>
      <c r="F12" s="271"/>
      <c r="G12" s="1474" t="s">
        <v>1</v>
      </c>
      <c r="H12" s="272"/>
      <c r="I12" s="2022" t="s">
        <v>1004</v>
      </c>
      <c r="K12" s="148"/>
      <c r="L12" s="149"/>
    </row>
    <row r="13" spans="1:12" ht="15" customHeight="1">
      <c r="A13" s="33"/>
      <c r="B13" s="33"/>
      <c r="C13" s="33"/>
      <c r="D13" s="25"/>
      <c r="E13" s="42" t="s">
        <v>393</v>
      </c>
      <c r="F13" s="41"/>
      <c r="G13" s="41"/>
      <c r="H13" s="114"/>
      <c r="I13" s="2024"/>
    </row>
    <row r="14" spans="1:12" ht="3" customHeight="1">
      <c r="A14" s="33"/>
      <c r="B14" s="33"/>
      <c r="C14" s="33"/>
    </row>
    <row r="15" spans="1:12" ht="27.75" customHeight="1">
      <c r="E15" s="2283" t="s">
        <v>1005</v>
      </c>
      <c r="F15" s="2283"/>
      <c r="G15" s="2283"/>
      <c r="H15" s="228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26" hidden="1"/>
    <col min="3" max="3" width="3.7109375" style="1827" customWidth="1"/>
    <col min="4" max="4" width="6.28515625" style="1826" customWidth="1"/>
    <col min="5" max="5" width="94.85546875" style="1826" customWidth="1"/>
    <col min="6" max="9" width="9.140625" style="1826"/>
  </cols>
  <sheetData>
    <row r="1" spans="3:9" ht="14.25" hidden="1" customHeight="1"/>
    <row r="2" spans="3:9" ht="14.25" hidden="1" customHeight="1"/>
    <row r="3" spans="3:9" ht="14.25" hidden="1" customHeight="1"/>
    <row r="4" spans="3:9" ht="14.25" hidden="1" customHeight="1"/>
    <row r="5" spans="3:9" ht="14.25" hidden="1" customHeight="1"/>
    <row r="6" spans="3:9" ht="3" customHeight="1">
      <c r="C6" s="13"/>
      <c r="D6" s="6"/>
      <c r="E6" s="6"/>
    </row>
    <row r="7" spans="3:9" ht="22.5" customHeight="1">
      <c r="C7" s="13"/>
      <c r="D7" s="2284" t="s">
        <v>1006</v>
      </c>
      <c r="E7" s="2285"/>
      <c r="F7" s="146"/>
    </row>
    <row r="8" spans="3:9" ht="3" customHeight="1">
      <c r="C8" s="13"/>
      <c r="D8" s="6"/>
      <c r="E8" s="6"/>
    </row>
    <row r="9" spans="3:9" ht="15.75" customHeight="1">
      <c r="C9" s="13"/>
      <c r="D9" s="22" t="s">
        <v>22</v>
      </c>
      <c r="E9" s="140" t="s">
        <v>1007</v>
      </c>
    </row>
    <row r="10" spans="3:9" ht="0.75" customHeight="1">
      <c r="C10" s="13"/>
      <c r="D10" s="10"/>
      <c r="E10" s="10"/>
    </row>
    <row r="11" spans="3:9" ht="11.25" hidden="1" customHeight="1">
      <c r="C11" s="13"/>
      <c r="D11" s="54">
        <v>0</v>
      </c>
      <c r="E11" s="141"/>
    </row>
    <row r="12" spans="3:9" ht="15" customHeight="1">
      <c r="C12" s="44"/>
      <c r="D12" s="28">
        <v>1</v>
      </c>
      <c r="E12" s="264"/>
    </row>
    <row r="13" spans="3:9" ht="12" customHeight="1">
      <c r="C13" s="13"/>
      <c r="D13" s="142"/>
      <c r="E13" s="143" t="s">
        <v>1008</v>
      </c>
    </row>
    <row r="14" spans="3:9" ht="3" customHeight="1"/>
    <row r="15" spans="3:9" ht="22.5" customHeight="1">
      <c r="C15" s="45"/>
      <c r="D15" s="2283" t="s">
        <v>1009</v>
      </c>
      <c r="E15" s="2283"/>
      <c r="F15" s="46"/>
      <c r="G15" s="46"/>
      <c r="H15" s="46"/>
      <c r="I15" s="46"/>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dimension ref="A1:I24"/>
  <sheetViews>
    <sheetView showGridLines="0" topLeftCell="C4" zoomScale="90" workbookViewId="0"/>
  </sheetViews>
  <sheetFormatPr defaultColWidth="9.140625" defaultRowHeight="11.25" customHeight="1"/>
  <cols>
    <col min="1" max="2" width="15" style="1667" hidden="1" customWidth="1"/>
    <col min="3" max="3" width="3.7109375" style="1669" customWidth="1"/>
    <col min="4" max="4" width="6.85546875" style="1670" customWidth="1"/>
    <col min="5" max="5" width="52.28515625" style="1669" customWidth="1"/>
    <col min="6" max="6" width="48.85546875" style="1669" customWidth="1"/>
    <col min="7" max="7" width="93.42578125" style="1669" customWidth="1"/>
    <col min="8" max="8" width="9.140625" style="1669"/>
    <col min="9" max="9" width="65" style="1669" customWidth="1"/>
  </cols>
  <sheetData>
    <row r="1" spans="1:9" ht="11.25" hidden="1" customHeight="1">
      <c r="A1" s="369" t="s">
        <v>223</v>
      </c>
    </row>
    <row r="2" spans="1:9" ht="22.5" hidden="1" customHeight="1">
      <c r="A2" s="370"/>
      <c r="B2" s="370"/>
      <c r="C2" s="327"/>
      <c r="D2" s="1290"/>
      <c r="E2" s="1296"/>
      <c r="F2" s="1324"/>
      <c r="H2" s="344"/>
    </row>
    <row r="3" spans="1:9" ht="11.25" hidden="1" customHeight="1"/>
    <row r="4" spans="1:9" ht="11.25" customHeight="1">
      <c r="A4" s="1325"/>
      <c r="B4" s="1325"/>
    </row>
    <row r="5" spans="1:9" ht="24" customHeight="1">
      <c r="D5" s="209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5"/>
      <c r="F5" s="2096"/>
      <c r="I5" s="542"/>
    </row>
    <row r="6" spans="1:9" ht="17.25" customHeight="1">
      <c r="D6" s="2059" t="e">
        <f>IF(region_name=0,"Не определено",region_name)</f>
        <v>#REF!</v>
      </c>
      <c r="E6" s="2059"/>
      <c r="F6" s="2059"/>
      <c r="I6" s="542"/>
    </row>
    <row r="7" spans="1:9" s="1666" customFormat="1" ht="11.25" customHeight="1">
      <c r="A7" s="369"/>
      <c r="B7" s="369"/>
      <c r="D7" s="541"/>
      <c r="E7" s="541"/>
      <c r="F7" s="577"/>
      <c r="G7" s="541"/>
    </row>
    <row r="8" spans="1:9" ht="11.25" hidden="1" customHeight="1">
      <c r="A8" s="370"/>
      <c r="B8" s="370"/>
      <c r="C8" s="327"/>
      <c r="D8" s="332"/>
      <c r="E8" s="2066"/>
      <c r="F8" s="2066"/>
    </row>
    <row r="9" spans="1:9" ht="11.25" customHeight="1">
      <c r="A9" s="370"/>
      <c r="B9" s="370"/>
      <c r="C9" s="327"/>
      <c r="D9" s="2062" t="s">
        <v>224</v>
      </c>
      <c r="E9" s="2063"/>
      <c r="F9" s="2063"/>
      <c r="G9" s="2067" t="s">
        <v>225</v>
      </c>
    </row>
    <row r="10" spans="1:9" ht="11.25" customHeight="1">
      <c r="A10" s="370"/>
      <c r="B10" s="370"/>
      <c r="C10" s="327"/>
      <c r="D10" s="1244" t="s">
        <v>22</v>
      </c>
      <c r="E10" s="1246" t="s">
        <v>226</v>
      </c>
      <c r="F10" s="1246" t="s">
        <v>227</v>
      </c>
      <c r="G10" s="2068"/>
    </row>
    <row r="11" spans="1:9" ht="0.75" customHeight="1">
      <c r="A11" s="370"/>
      <c r="B11" s="370"/>
      <c r="C11" s="327"/>
      <c r="D11" s="333"/>
      <c r="E11" s="333"/>
      <c r="F11" s="333"/>
      <c r="G11" s="333"/>
    </row>
    <row r="12" spans="1:9" ht="22.5" customHeight="1">
      <c r="A12" s="370"/>
      <c r="B12" s="370"/>
      <c r="C12" s="327"/>
      <c r="D12" s="1290">
        <v>1</v>
      </c>
      <c r="E12" s="343" t="s">
        <v>1010</v>
      </c>
      <c r="F12" s="1591" t="e">
        <f>IF(org="","",org)</f>
        <v>#REF!</v>
      </c>
      <c r="G12" s="343" t="s">
        <v>1011</v>
      </c>
      <c r="H12" s="1302"/>
    </row>
    <row r="13" spans="1:9" ht="18.75" customHeight="1">
      <c r="A13" s="370"/>
      <c r="B13" s="370"/>
      <c r="C13" s="327"/>
      <c r="D13" s="1290">
        <v>2</v>
      </c>
      <c r="E13" s="1297" t="s">
        <v>1012</v>
      </c>
      <c r="F13" s="1291" t="s">
        <v>230</v>
      </c>
      <c r="G13" s="343"/>
      <c r="H13" s="1302"/>
    </row>
    <row r="14" spans="1:9" ht="18.75" customHeight="1">
      <c r="A14" s="370"/>
      <c r="B14" s="370"/>
      <c r="C14" s="327"/>
      <c r="D14" s="1293" t="s">
        <v>541</v>
      </c>
      <c r="E14" s="1294" t="s">
        <v>1013</v>
      </c>
      <c r="F14" s="1296"/>
      <c r="G14" s="1295" t="s">
        <v>1014</v>
      </c>
      <c r="H14" s="1302"/>
    </row>
    <row r="15" spans="1:9" ht="18.75" customHeight="1">
      <c r="A15" s="370"/>
      <c r="B15" s="370"/>
      <c r="C15" s="327"/>
      <c r="D15" s="1293" t="s">
        <v>231</v>
      </c>
      <c r="E15" s="1294" t="s">
        <v>1015</v>
      </c>
      <c r="F15" s="1296"/>
      <c r="G15" s="1295" t="s">
        <v>1016</v>
      </c>
      <c r="H15" s="1302"/>
    </row>
    <row r="16" spans="1:9" ht="36.75" customHeight="1">
      <c r="A16" s="370"/>
      <c r="B16" s="370"/>
      <c r="C16" s="327"/>
      <c r="D16" s="1293" t="s">
        <v>234</v>
      </c>
      <c r="E16" s="1292" t="s">
        <v>1017</v>
      </c>
      <c r="F16" s="1300"/>
      <c r="G16" s="343" t="s">
        <v>1018</v>
      </c>
      <c r="H16" s="1302"/>
    </row>
    <row r="17" spans="1:9" ht="45" customHeight="1">
      <c r="A17" s="370"/>
      <c r="B17" s="370"/>
      <c r="C17" s="327"/>
      <c r="D17" s="1290">
        <v>3</v>
      </c>
      <c r="E17" s="1297" t="s">
        <v>1019</v>
      </c>
      <c r="F17" s="1296"/>
      <c r="G17" s="343" t="s">
        <v>1020</v>
      </c>
      <c r="H17" s="1302"/>
    </row>
    <row r="18" spans="1:9" ht="45" customHeight="1">
      <c r="A18" s="1245">
        <v>1</v>
      </c>
      <c r="B18" s="370"/>
      <c r="C18" s="1247"/>
      <c r="D18" s="1290" t="s">
        <v>25</v>
      </c>
      <c r="E18" s="1297" t="s">
        <v>1021</v>
      </c>
      <c r="F18" s="1296"/>
      <c r="G18" s="343" t="s">
        <v>1020</v>
      </c>
      <c r="H18" s="1302"/>
      <c r="I18" s="650"/>
    </row>
    <row r="19" spans="1:9" ht="22.5" customHeight="1">
      <c r="A19" s="370"/>
      <c r="B19" s="370"/>
      <c r="C19" s="327"/>
      <c r="D19" s="1290" t="s">
        <v>45</v>
      </c>
      <c r="E19" s="1297" t="s">
        <v>1022</v>
      </c>
      <c r="F19" s="1291" t="s">
        <v>230</v>
      </c>
      <c r="G19" s="2286" t="s">
        <v>1023</v>
      </c>
      <c r="H19" s="344"/>
    </row>
    <row r="20" spans="1:9" s="1828" customFormat="1" ht="5.25" hidden="1" customHeight="1">
      <c r="A20" s="370"/>
      <c r="B20" s="370"/>
      <c r="C20" s="1299"/>
      <c r="D20" s="1298" t="s">
        <v>950</v>
      </c>
      <c r="E20" s="797"/>
      <c r="F20" s="796"/>
      <c r="G20" s="2287"/>
    </row>
    <row r="21" spans="1:9" ht="15" customHeight="1">
      <c r="A21" s="370"/>
      <c r="B21" s="370"/>
      <c r="C21" s="327"/>
      <c r="D21" s="336"/>
      <c r="E21" s="295" t="s">
        <v>265</v>
      </c>
      <c r="F21" s="338"/>
      <c r="G21" s="2288"/>
      <c r="H21" s="1302"/>
    </row>
    <row r="22" spans="1:9" s="1667" customFormat="1" ht="24.75" customHeight="1">
      <c r="A22" s="370"/>
      <c r="B22" s="370"/>
      <c r="C22" s="370"/>
      <c r="D22" s="1290" t="s">
        <v>26</v>
      </c>
      <c r="E22" s="343" t="s">
        <v>1024</v>
      </c>
      <c r="F22" s="1296"/>
      <c r="G22" s="343" t="s">
        <v>1025</v>
      </c>
      <c r="H22" s="1301"/>
    </row>
    <row r="23" spans="1:9" s="1667" customFormat="1" ht="18.75" customHeight="1">
      <c r="A23" s="370"/>
      <c r="B23" s="370"/>
      <c r="C23" s="370"/>
      <c r="D23" s="1290" t="s">
        <v>27</v>
      </c>
      <c r="E23" s="1297" t="s">
        <v>1026</v>
      </c>
      <c r="F23" s="1300"/>
      <c r="G23" s="343" t="s">
        <v>1027</v>
      </c>
      <c r="H23" s="1301"/>
    </row>
    <row r="24" spans="1:9" ht="11.25" customHeight="1">
      <c r="A24" s="370"/>
      <c r="B24" s="370"/>
      <c r="C24" s="327"/>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dimension ref="A1:IT23"/>
  <sheetViews>
    <sheetView showGridLines="0" topLeftCell="D4" zoomScale="90" workbookViewId="0"/>
  </sheetViews>
  <sheetFormatPr defaultColWidth="9.140625" defaultRowHeight="14.25" customHeight="1"/>
  <cols>
    <col min="1" max="1" width="9.140625" style="1661" hidden="1"/>
    <col min="2" max="2" width="9.140625" style="1687" hidden="1"/>
    <col min="3" max="3" width="3.7109375" style="1661" hidden="1" customWidth="1"/>
    <col min="4" max="4" width="3.85546875" style="1677" customWidth="1"/>
    <col min="5" max="5" width="6.28515625" style="1661" customWidth="1"/>
    <col min="6" max="6" width="46.7109375" style="1661" customWidth="1"/>
    <col min="7" max="8" width="16.7109375" style="1661" customWidth="1"/>
    <col min="9" max="9" width="35.28515625" style="1661" customWidth="1"/>
    <col min="10" max="10" width="89.5703125" style="1661" customWidth="1"/>
    <col min="11" max="11" width="3.7109375" style="1632" customWidth="1"/>
    <col min="12" max="14" width="9.140625" style="1632"/>
    <col min="15" max="15" width="25.7109375" style="1629" customWidth="1"/>
    <col min="16" max="16" width="14.42578125" style="1632" customWidth="1"/>
    <col min="17" max="20" width="9.140625" style="1630"/>
    <col min="21" max="254" width="9.140625" style="1661"/>
  </cols>
  <sheetData>
    <row r="1" spans="1:254" ht="14.25" hidden="1" customHeight="1"/>
    <row r="2" spans="1:254" s="1633" customFormat="1" ht="22.5" hidden="1" customHeight="1">
      <c r="A2" s="634"/>
      <c r="B2" s="929">
        <v>1</v>
      </c>
      <c r="C2" s="929"/>
      <c r="D2" s="610"/>
      <c r="E2" s="1254"/>
      <c r="F2" s="1261"/>
      <c r="G2" s="1261"/>
      <c r="H2" s="1261"/>
      <c r="I2" s="1307"/>
      <c r="J2" s="124"/>
      <c r="K2" s="1304" t="e">
        <f ca="1">MERGEVALUE(F2)</f>
        <v>#NAME?</v>
      </c>
      <c r="L2" s="379"/>
      <c r="M2" s="379"/>
      <c r="N2" s="368" t="str">
        <f t="array" ref="N2">IF(ISERROR(MATCH(MID(O2,1,250),MID(note_ter,1,250),0)),"n","y")</f>
        <v>n</v>
      </c>
      <c r="O2" s="379"/>
      <c r="P2" s="368" t="str">
        <f>G2&amp;"("&amp;J2&amp;")"</f>
        <v>()</v>
      </c>
      <c r="Q2" s="929"/>
      <c r="R2" s="929"/>
      <c r="S2" s="299"/>
      <c r="T2" s="929"/>
      <c r="U2" s="929"/>
      <c r="V2" s="929"/>
      <c r="W2" s="301"/>
      <c r="X2" s="301"/>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301"/>
      <c r="BU2" s="301"/>
      <c r="BV2" s="301"/>
      <c r="BW2" s="301"/>
      <c r="BX2" s="301"/>
      <c r="BY2" s="301"/>
      <c r="BZ2" s="301"/>
      <c r="CA2" s="301"/>
      <c r="CB2" s="301"/>
      <c r="CC2" s="301"/>
    </row>
    <row r="3" spans="1:254" s="1622" customFormat="1" ht="5.25" hidden="1" customHeight="1">
      <c r="A3" s="364"/>
      <c r="D3" s="362"/>
      <c r="F3" s="127" t="s">
        <v>17</v>
      </c>
      <c r="G3" s="362" t="s">
        <v>18</v>
      </c>
      <c r="H3" s="362"/>
      <c r="I3" s="362"/>
      <c r="J3" s="123" t="s">
        <v>19</v>
      </c>
      <c r="K3" s="127" t="s">
        <v>17</v>
      </c>
      <c r="L3" s="127"/>
      <c r="M3" s="127"/>
      <c r="N3" s="127"/>
      <c r="O3" s="128"/>
      <c r="P3" s="127"/>
      <c r="Q3" s="127"/>
      <c r="R3" s="127"/>
      <c r="S3" s="127"/>
      <c r="T3" s="127"/>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row>
    <row r="4" spans="1:254" s="1631" customFormat="1" ht="14.25" customHeight="1">
      <c r="A4" s="924"/>
      <c r="B4" s="929"/>
      <c r="C4" s="924"/>
      <c r="D4" s="1265"/>
      <c r="E4" s="377"/>
      <c r="F4" s="377"/>
      <c r="G4" s="377"/>
      <c r="H4" s="377"/>
      <c r="I4" s="377"/>
      <c r="J4" s="67"/>
      <c r="K4" s="127"/>
      <c r="L4" s="368"/>
      <c r="M4" s="368"/>
      <c r="N4" s="368"/>
      <c r="O4" s="122"/>
      <c r="P4" s="368"/>
      <c r="Q4" s="121"/>
      <c r="R4" s="121"/>
      <c r="S4" s="121"/>
      <c r="T4" s="121"/>
    </row>
    <row r="5" spans="1:254" s="1631" customFormat="1" ht="25.5" customHeight="1">
      <c r="A5" s="924"/>
      <c r="B5" s="929"/>
      <c r="C5" s="924"/>
      <c r="D5" s="1265"/>
      <c r="E5" s="195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5"/>
      <c r="G5" s="1955"/>
      <c r="H5" s="1955"/>
      <c r="I5" s="1955"/>
      <c r="J5" s="1955"/>
      <c r="K5" s="127"/>
      <c r="L5" s="368"/>
      <c r="M5" s="368"/>
      <c r="N5" s="368"/>
      <c r="O5" s="122"/>
      <c r="P5" s="368"/>
      <c r="Q5" s="121"/>
      <c r="R5" s="121"/>
      <c r="S5" s="121"/>
      <c r="T5" s="121"/>
    </row>
    <row r="6" spans="1:254" s="1631" customFormat="1" ht="14.25" customHeight="1">
      <c r="A6" s="924"/>
      <c r="B6" s="929"/>
      <c r="C6" s="924"/>
      <c r="D6" s="1265"/>
      <c r="E6" s="377"/>
      <c r="F6" s="68"/>
      <c r="G6" s="68"/>
      <c r="H6" s="68"/>
      <c r="I6" s="68"/>
      <c r="J6" s="69"/>
      <c r="K6" s="368"/>
      <c r="L6" s="368"/>
      <c r="M6" s="368"/>
      <c r="N6" s="368"/>
      <c r="O6" s="122"/>
      <c r="P6" s="368"/>
      <c r="Q6" s="121"/>
      <c r="R6" s="121"/>
      <c r="S6" s="121"/>
      <c r="T6" s="121"/>
    </row>
    <row r="7" spans="1:254" s="1631" customFormat="1" ht="14.25" customHeight="1">
      <c r="A7" s="924"/>
      <c r="B7" s="929"/>
      <c r="C7" s="924"/>
      <c r="D7" s="1265"/>
      <c r="E7" s="1956" t="s">
        <v>224</v>
      </c>
      <c r="F7" s="1957"/>
      <c r="G7" s="1957"/>
      <c r="H7" s="1957"/>
      <c r="I7" s="1957"/>
      <c r="J7" s="2289" t="s">
        <v>225</v>
      </c>
      <c r="K7" s="368"/>
      <c r="L7" s="368"/>
      <c r="M7" s="368"/>
      <c r="N7" s="368"/>
      <c r="O7" s="122"/>
      <c r="P7" s="368"/>
      <c r="Q7" s="121"/>
      <c r="R7" s="121"/>
      <c r="S7" s="121"/>
      <c r="T7" s="121"/>
    </row>
    <row r="8" spans="1:254" s="1631" customFormat="1" ht="20.25" customHeight="1">
      <c r="A8" s="924"/>
      <c r="B8" s="929"/>
      <c r="C8" s="924"/>
      <c r="D8" s="1265"/>
      <c r="E8" s="1323" t="s">
        <v>22</v>
      </c>
      <c r="F8" s="1309" t="s">
        <v>1028</v>
      </c>
      <c r="G8" s="1309" t="s">
        <v>9</v>
      </c>
      <c r="H8" s="1309" t="s">
        <v>11</v>
      </c>
      <c r="I8" s="1309" t="s">
        <v>1029</v>
      </c>
      <c r="J8" s="2290"/>
      <c r="K8" s="368"/>
      <c r="L8" s="368"/>
      <c r="M8" s="368"/>
      <c r="N8" s="368"/>
      <c r="O8" s="122"/>
      <c r="P8" s="368"/>
      <c r="Q8" s="121"/>
      <c r="R8" s="121"/>
      <c r="S8" s="121"/>
      <c r="T8" s="121"/>
    </row>
    <row r="9" spans="1:254" s="1633" customFormat="1" ht="22.5" customHeight="1">
      <c r="A9" s="1954"/>
      <c r="B9" s="929">
        <v>1</v>
      </c>
      <c r="C9" s="929"/>
      <c r="D9" s="610"/>
      <c r="E9" s="1254">
        <v>1</v>
      </c>
      <c r="F9" s="1322"/>
      <c r="G9" s="1261"/>
      <c r="H9" s="1261"/>
      <c r="I9" s="1307"/>
      <c r="J9" s="2291" t="s">
        <v>1030</v>
      </c>
      <c r="K9" s="1304" t="e">
        <f ca="1">MERGEVALUE(F9)</f>
        <v>#NAME?</v>
      </c>
      <c r="L9" s="379"/>
      <c r="M9" s="379"/>
      <c r="N9" s="368" t="str">
        <f t="array" ref="N9">IF(ISERROR(MATCH(MID(O9,1,250),MID(note_ter,1,250),0)),"n","y")</f>
        <v>n</v>
      </c>
      <c r="O9" s="379"/>
      <c r="P9" s="368"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929"/>
      <c r="R9" s="929"/>
      <c r="S9" s="299"/>
      <c r="T9" s="929"/>
      <c r="U9" s="929"/>
      <c r="V9" s="929"/>
      <c r="W9" s="301"/>
      <c r="X9" s="301"/>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301"/>
      <c r="BU9" s="301"/>
      <c r="BV9" s="301"/>
      <c r="BW9" s="301"/>
      <c r="BX9" s="301"/>
      <c r="BY9" s="301"/>
      <c r="BZ9" s="301"/>
      <c r="CA9" s="301"/>
      <c r="CB9" s="301"/>
      <c r="CC9" s="301"/>
    </row>
    <row r="10" spans="1:254" s="1633" customFormat="1" ht="15" customHeight="1">
      <c r="A10" s="1954"/>
      <c r="B10" s="929"/>
      <c r="C10" s="293"/>
      <c r="D10" s="610"/>
      <c r="E10" s="1310"/>
      <c r="F10" s="1270" t="s">
        <v>1031</v>
      </c>
      <c r="G10" s="1311"/>
      <c r="H10" s="1311"/>
      <c r="I10" s="1311"/>
      <c r="J10" s="2292"/>
      <c r="K10" s="1305"/>
      <c r="L10" s="379"/>
      <c r="M10" s="379"/>
      <c r="N10" s="379"/>
      <c r="O10" s="368"/>
      <c r="P10" s="379"/>
      <c r="Q10" s="929"/>
      <c r="R10" s="929"/>
      <c r="S10" s="299"/>
      <c r="T10" s="929"/>
      <c r="U10" s="929"/>
      <c r="V10" s="929"/>
      <c r="W10" s="301"/>
      <c r="X10" s="301"/>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301"/>
      <c r="BU10" s="301"/>
      <c r="BV10" s="301"/>
      <c r="BW10" s="301"/>
      <c r="BX10" s="301"/>
      <c r="BY10" s="301"/>
      <c r="BZ10" s="301"/>
      <c r="CA10" s="301"/>
      <c r="CB10" s="301"/>
      <c r="CC10" s="301"/>
    </row>
    <row r="11" spans="1:254" s="1631" customFormat="1" ht="21" customHeight="1">
      <c r="A11" s="924"/>
      <c r="B11" s="929"/>
      <c r="C11" s="924"/>
      <c r="D11" s="324"/>
      <c r="E11" s="80"/>
      <c r="F11" s="80"/>
      <c r="G11" s="80"/>
      <c r="H11" s="80"/>
      <c r="I11" s="80"/>
      <c r="J11" s="80"/>
      <c r="K11" s="368"/>
      <c r="L11" s="368"/>
      <c r="M11" s="368"/>
      <c r="N11" s="368"/>
      <c r="O11" s="122"/>
      <c r="P11" s="368"/>
      <c r="Q11" s="121"/>
      <c r="R11" s="121"/>
      <c r="S11" s="121"/>
      <c r="T11" s="121"/>
    </row>
    <row r="12" spans="1:254" s="1631" customFormat="1" ht="14.25" customHeight="1">
      <c r="A12" s="924"/>
      <c r="B12" s="929"/>
      <c r="C12" s="924"/>
      <c r="D12" s="324"/>
      <c r="E12" s="924"/>
      <c r="F12" s="924"/>
      <c r="G12" s="924"/>
      <c r="H12" s="924"/>
      <c r="I12" s="924"/>
      <c r="J12" s="924"/>
      <c r="K12" s="368"/>
      <c r="L12" s="368"/>
      <c r="M12" s="368"/>
      <c r="N12" s="368"/>
      <c r="O12" s="122"/>
      <c r="P12" s="368"/>
      <c r="Q12" s="121"/>
      <c r="R12" s="121"/>
      <c r="S12" s="121"/>
      <c r="T12" s="121"/>
    </row>
    <row r="13" spans="1:254" s="1631" customFormat="1" ht="0.75" customHeight="1">
      <c r="A13" s="924"/>
      <c r="B13" s="929"/>
      <c r="C13" s="924"/>
      <c r="D13" s="324"/>
      <c r="E13" s="924"/>
      <c r="F13" s="924"/>
      <c r="G13" s="924"/>
      <c r="H13" s="924"/>
      <c r="I13" s="924"/>
      <c r="J13" s="924"/>
      <c r="K13" s="368"/>
      <c r="L13" s="368"/>
      <c r="M13" s="368"/>
      <c r="N13" s="368"/>
      <c r="O13" s="122"/>
      <c r="P13" s="368"/>
      <c r="Q13" s="121"/>
      <c r="R13" s="121"/>
      <c r="S13" s="121"/>
      <c r="T13" s="121"/>
    </row>
    <row r="14" spans="1:254" s="1637" customFormat="1" ht="10.5" customHeight="1">
      <c r="B14" s="637"/>
      <c r="D14" s="82"/>
      <c r="K14" s="368"/>
      <c r="L14" s="368"/>
      <c r="M14" s="368"/>
      <c r="N14" s="368"/>
      <c r="O14" s="122"/>
      <c r="P14" s="368"/>
      <c r="Q14" s="121"/>
      <c r="R14" s="121"/>
      <c r="S14" s="121"/>
      <c r="T14" s="121"/>
    </row>
    <row r="15" spans="1:254" s="1637" customFormat="1" ht="10.5" customHeight="1">
      <c r="B15" s="637"/>
      <c r="D15" s="82"/>
      <c r="K15" s="368"/>
      <c r="L15" s="368"/>
      <c r="M15" s="368"/>
      <c r="N15" s="368"/>
      <c r="O15" s="122"/>
      <c r="P15" s="368"/>
      <c r="Q15" s="121"/>
      <c r="R15" s="121"/>
      <c r="S15" s="121"/>
      <c r="T15" s="121"/>
    </row>
    <row r="19" spans="7:13" ht="14.25" customHeight="1">
      <c r="G19" s="257"/>
      <c r="H19" s="257"/>
      <c r="I19" s="257"/>
    </row>
    <row r="23" spans="7:13" ht="14.25" customHeight="1">
      <c r="K23" s="924"/>
      <c r="L23" s="924"/>
      <c r="M23" s="924"/>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661" hidden="1"/>
    <col min="2" max="2" width="9.140625" style="1687" hidden="1"/>
    <col min="3" max="3" width="3.7109375" style="1661" hidden="1" customWidth="1"/>
    <col min="4" max="4" width="3.85546875" style="1677" customWidth="1"/>
    <col min="5" max="5" width="6.28515625" style="1661" customWidth="1"/>
    <col min="6" max="6" width="27.28515625" style="1661" customWidth="1"/>
    <col min="7" max="7" width="16.7109375" style="1661" customWidth="1"/>
    <col min="8" max="8" width="12.7109375" style="1661" customWidth="1"/>
    <col min="9" max="9" width="32.140625" style="1661" customWidth="1"/>
    <col min="10" max="11" width="41.85546875" style="1661" customWidth="1"/>
    <col min="12" max="12" width="89.5703125" style="1661" customWidth="1"/>
    <col min="13" max="13" width="3.7109375" style="1632" customWidth="1"/>
    <col min="14" max="16" width="9.140625" style="1632"/>
    <col min="17" max="17" width="25.7109375" style="1629" customWidth="1"/>
    <col min="18" max="18" width="14.42578125" style="1632" customWidth="1"/>
    <col min="19" max="22" width="9.140625" style="1630"/>
    <col min="23" max="256" width="9.140625" style="1661"/>
  </cols>
  <sheetData>
    <row r="1" spans="1:256" ht="14.25" hidden="1" customHeight="1"/>
    <row r="2" spans="1:256" s="1633" customFormat="1" ht="22.5" hidden="1" customHeight="1">
      <c r="A2" s="634"/>
      <c r="B2" s="929">
        <v>1</v>
      </c>
      <c r="C2" s="929"/>
      <c r="D2" s="610"/>
      <c r="E2" s="1254"/>
      <c r="F2" s="1308" t="e">
        <f>IF(ROIV_INFO_NAME="","",ROIV_INFO_NAME)</f>
        <v>#REF!</v>
      </c>
      <c r="G2" s="1472" t="s">
        <v>1</v>
      </c>
      <c r="H2" s="1307"/>
      <c r="I2" s="1307"/>
      <c r="J2" s="933"/>
      <c r="K2" s="933"/>
      <c r="L2" s="124"/>
      <c r="M2" s="1304" t="e">
        <f ca="1">MERGEVALUE(F2)</f>
        <v>#NAME?</v>
      </c>
      <c r="N2" s="379"/>
      <c r="O2" s="379"/>
      <c r="P2" s="368" t="str">
        <f t="array" ref="P2">IF(ISERROR(MATCH(MID(Q2,1,250),MID(note_ter,1,250),0)),"n","y")</f>
        <v>n</v>
      </c>
      <c r="Q2" s="379"/>
      <c r="R2" s="368" t="str">
        <f>G2&amp;"("&amp;L2&amp;")"</f>
        <v>()</v>
      </c>
      <c r="S2" s="929"/>
      <c r="T2" s="929"/>
      <c r="U2" s="299"/>
      <c r="V2" s="929"/>
      <c r="W2" s="929"/>
      <c r="X2" s="929"/>
      <c r="Y2" s="301"/>
      <c r="Z2" s="301"/>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301"/>
      <c r="BW2" s="301"/>
      <c r="BX2" s="301"/>
      <c r="BY2" s="301"/>
      <c r="BZ2" s="301"/>
      <c r="CA2" s="301"/>
      <c r="CB2" s="301"/>
      <c r="CC2" s="301"/>
      <c r="CD2" s="301"/>
      <c r="CE2" s="301"/>
    </row>
    <row r="3" spans="1:256" s="1622" customFormat="1" ht="5.25" hidden="1" customHeight="1">
      <c r="A3" s="364"/>
      <c r="D3" s="362"/>
      <c r="F3" s="127" t="s">
        <v>17</v>
      </c>
      <c r="G3" s="1475" t="s">
        <v>18</v>
      </c>
      <c r="H3" s="362"/>
      <c r="I3" s="362"/>
      <c r="J3" s="362"/>
      <c r="K3" s="362"/>
      <c r="L3" s="123" t="s">
        <v>19</v>
      </c>
      <c r="M3" s="127" t="s">
        <v>17</v>
      </c>
      <c r="N3" s="127"/>
      <c r="O3" s="127"/>
      <c r="P3" s="127"/>
      <c r="Q3" s="128"/>
      <c r="R3" s="127"/>
      <c r="S3" s="127"/>
      <c r="T3" s="127"/>
      <c r="U3" s="127"/>
      <c r="V3" s="127"/>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row>
    <row r="4" spans="1:256" s="1631" customFormat="1" ht="14.25" customHeight="1">
      <c r="A4" s="924"/>
      <c r="B4" s="929"/>
      <c r="C4" s="924"/>
      <c r="D4" s="1265"/>
      <c r="E4" s="377"/>
      <c r="F4" s="377"/>
      <c r="G4" s="377"/>
      <c r="H4" s="377"/>
      <c r="I4" s="377"/>
      <c r="J4" s="377"/>
      <c r="K4" s="377"/>
      <c r="L4" s="67"/>
      <c r="M4" s="127"/>
      <c r="N4" s="368"/>
      <c r="O4" s="368"/>
      <c r="P4" s="368"/>
      <c r="Q4" s="122"/>
      <c r="R4" s="368"/>
      <c r="S4" s="121"/>
      <c r="T4" s="121"/>
      <c r="U4" s="121"/>
      <c r="V4" s="121"/>
    </row>
    <row r="5" spans="1:256" s="1631" customFormat="1" ht="25.5" customHeight="1">
      <c r="A5" s="924"/>
      <c r="B5" s="929"/>
      <c r="C5" s="924"/>
      <c r="D5" s="1265"/>
      <c r="E5" s="195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5"/>
      <c r="G5" s="1955"/>
      <c r="H5" s="1955"/>
      <c r="I5" s="1955"/>
      <c r="J5" s="1955"/>
      <c r="K5" s="1955"/>
      <c r="L5" s="443"/>
      <c r="M5" s="127"/>
      <c r="N5" s="368"/>
      <c r="O5" s="368"/>
      <c r="P5" s="368"/>
      <c r="Q5" s="122"/>
      <c r="R5" s="368"/>
      <c r="S5" s="121"/>
      <c r="T5" s="121"/>
      <c r="U5" s="121"/>
      <c r="V5" s="121"/>
    </row>
    <row r="6" spans="1:256" s="1631" customFormat="1" ht="14.25" customHeight="1">
      <c r="A6" s="924"/>
      <c r="B6" s="929"/>
      <c r="C6" s="924"/>
      <c r="D6" s="1265"/>
      <c r="E6" s="377"/>
      <c r="F6" s="68"/>
      <c r="G6" s="68"/>
      <c r="H6" s="68"/>
      <c r="I6" s="68"/>
      <c r="J6" s="68"/>
      <c r="K6" s="68"/>
      <c r="L6" s="69"/>
      <c r="M6" s="368"/>
      <c r="N6" s="368"/>
      <c r="O6" s="368"/>
      <c r="P6" s="368"/>
      <c r="Q6" s="122"/>
      <c r="R6" s="368"/>
      <c r="S6" s="121"/>
      <c r="T6" s="121"/>
      <c r="U6" s="121"/>
      <c r="V6" s="121"/>
    </row>
    <row r="7" spans="1:256" s="1631" customFormat="1" ht="14.25" customHeight="1">
      <c r="A7" s="924"/>
      <c r="B7" s="929"/>
      <c r="C7" s="924"/>
      <c r="D7" s="1265"/>
      <c r="E7" s="1956" t="s">
        <v>224</v>
      </c>
      <c r="F7" s="1957"/>
      <c r="G7" s="1957"/>
      <c r="H7" s="1957"/>
      <c r="I7" s="1957"/>
      <c r="J7" s="1957"/>
      <c r="K7" s="1957"/>
      <c r="L7" s="2289" t="s">
        <v>225</v>
      </c>
      <c r="M7" s="368"/>
      <c r="N7" s="368"/>
      <c r="O7" s="368"/>
      <c r="P7" s="368"/>
      <c r="Q7" s="122"/>
      <c r="R7" s="368"/>
      <c r="S7" s="121"/>
      <c r="T7" s="121"/>
      <c r="U7" s="121"/>
      <c r="V7" s="121"/>
    </row>
    <row r="8" spans="1:256" s="1631" customFormat="1" ht="47.25" customHeight="1">
      <c r="A8" s="924"/>
      <c r="B8" s="929"/>
      <c r="C8" s="924"/>
      <c r="D8" s="1265"/>
      <c r="E8" s="2294" t="s">
        <v>22</v>
      </c>
      <c r="F8" s="2294" t="s">
        <v>1010</v>
      </c>
      <c r="G8" s="229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297"/>
      <c r="I8" s="2298"/>
      <c r="J8" s="229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29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293"/>
      <c r="M8" s="368"/>
      <c r="N8" s="368"/>
      <c r="O8" s="368"/>
      <c r="P8" s="368"/>
      <c r="Q8" s="122"/>
      <c r="R8" s="368"/>
      <c r="S8" s="121"/>
      <c r="T8" s="121"/>
      <c r="U8" s="121"/>
      <c r="V8" s="121"/>
    </row>
    <row r="9" spans="1:256" s="1631" customFormat="1" ht="56.25" customHeight="1">
      <c r="A9" s="924"/>
      <c r="B9" s="929"/>
      <c r="C9" s="924"/>
      <c r="D9" s="1265"/>
      <c r="E9" s="2295"/>
      <c r="F9" s="2295"/>
      <c r="G9" s="1306" t="s">
        <v>1032</v>
      </c>
      <c r="H9" s="1306" t="s">
        <v>1033</v>
      </c>
      <c r="I9" s="1306" t="s">
        <v>1034</v>
      </c>
      <c r="J9" s="2295"/>
      <c r="K9" s="2295"/>
      <c r="L9" s="2290"/>
      <c r="M9" s="368"/>
      <c r="N9" s="368"/>
      <c r="O9" s="368"/>
      <c r="P9" s="368"/>
      <c r="Q9" s="122"/>
      <c r="R9" s="368"/>
      <c r="S9" s="121"/>
      <c r="T9" s="121"/>
      <c r="U9" s="121"/>
      <c r="V9" s="121"/>
    </row>
    <row r="10" spans="1:256" s="1633" customFormat="1" ht="22.5" customHeight="1">
      <c r="A10" s="1954"/>
      <c r="B10" s="929">
        <v>1</v>
      </c>
      <c r="C10" s="929"/>
      <c r="D10" s="609"/>
      <c r="E10" s="607">
        <v>1</v>
      </c>
      <c r="F10" s="1308" t="e">
        <f>IF(ROIV_INFO_NAME="","",ROIV_INFO_NAME)</f>
        <v>#REF!</v>
      </c>
      <c r="G10" s="1472" t="s">
        <v>1</v>
      </c>
      <c r="H10" s="1303"/>
      <c r="I10" s="1303"/>
      <c r="J10" s="933"/>
      <c r="K10" s="933"/>
      <c r="L10" s="2291" t="s">
        <v>1035</v>
      </c>
      <c r="M10" s="1304" t="e">
        <f ca="1">MERGEVALUE(F10)</f>
        <v>#NAME?</v>
      </c>
      <c r="N10" s="379"/>
      <c r="O10" s="379"/>
      <c r="P10" s="368" t="str">
        <f t="array" ref="P10">IF(ISERROR(MATCH(MID(Q10,1,250),MID(note_ter,1,250),0)),"n","y")</f>
        <v>n</v>
      </c>
      <c r="Q10" s="379"/>
      <c r="R10" s="3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929"/>
      <c r="T10" s="929"/>
      <c r="U10" s="299"/>
      <c r="V10" s="929"/>
      <c r="W10" s="929"/>
      <c r="X10" s="929"/>
      <c r="Y10" s="301"/>
      <c r="Z10" s="301"/>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301"/>
      <c r="BW10" s="301"/>
      <c r="BX10" s="301"/>
      <c r="BY10" s="301"/>
      <c r="BZ10" s="301"/>
      <c r="CA10" s="301"/>
      <c r="CB10" s="301"/>
      <c r="CC10" s="301"/>
      <c r="CD10" s="301"/>
      <c r="CE10" s="301"/>
    </row>
    <row r="11" spans="1:256" s="1633" customFormat="1" ht="15" customHeight="1">
      <c r="A11" s="1954"/>
      <c r="B11" s="929"/>
      <c r="C11" s="293"/>
      <c r="D11" s="610"/>
      <c r="E11" s="300"/>
      <c r="F11" s="296" t="s">
        <v>1036</v>
      </c>
      <c r="G11" s="87"/>
      <c r="H11" s="87"/>
      <c r="I11" s="87"/>
      <c r="J11" s="87"/>
      <c r="K11" s="87"/>
      <c r="L11" s="2292"/>
      <c r="M11" s="1305"/>
      <c r="N11" s="379"/>
      <c r="O11" s="379"/>
      <c r="P11" s="379"/>
      <c r="Q11" s="368"/>
      <c r="R11" s="379"/>
      <c r="S11" s="929"/>
      <c r="T11" s="929"/>
      <c r="U11" s="299"/>
      <c r="V11" s="929"/>
      <c r="W11" s="929"/>
      <c r="X11" s="929"/>
      <c r="Y11" s="301"/>
      <c r="Z11" s="301"/>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301"/>
      <c r="BW11" s="301"/>
      <c r="BX11" s="301"/>
      <c r="BY11" s="301"/>
      <c r="BZ11" s="301"/>
      <c r="CA11" s="301"/>
      <c r="CB11" s="301"/>
      <c r="CC11" s="301"/>
      <c r="CD11" s="301"/>
      <c r="CE11" s="301"/>
    </row>
    <row r="12" spans="1:256" s="1631" customFormat="1" ht="21" customHeight="1">
      <c r="A12" s="924"/>
      <c r="B12" s="929"/>
      <c r="C12" s="924"/>
      <c r="D12" s="324"/>
      <c r="E12" s="80"/>
      <c r="F12" s="80"/>
      <c r="G12" s="80"/>
      <c r="H12" s="80"/>
      <c r="I12" s="80"/>
      <c r="J12" s="80"/>
      <c r="K12" s="80"/>
      <c r="L12" s="80"/>
      <c r="M12" s="368"/>
      <c r="N12" s="368"/>
      <c r="O12" s="368"/>
      <c r="P12" s="368"/>
      <c r="Q12" s="122"/>
      <c r="R12" s="368"/>
      <c r="S12" s="121"/>
      <c r="T12" s="121"/>
      <c r="U12" s="121"/>
      <c r="V12" s="121"/>
    </row>
    <row r="13" spans="1:256" s="1631" customFormat="1" ht="14.25" customHeight="1">
      <c r="A13" s="924"/>
      <c r="B13" s="929"/>
      <c r="C13" s="924"/>
      <c r="D13" s="324"/>
      <c r="E13" s="924"/>
      <c r="F13" s="924"/>
      <c r="G13" s="924"/>
      <c r="H13" s="924"/>
      <c r="I13" s="924"/>
      <c r="J13" s="924"/>
      <c r="K13" s="924"/>
      <c r="L13" s="924"/>
      <c r="M13" s="368"/>
      <c r="N13" s="368"/>
      <c r="O13" s="368"/>
      <c r="P13" s="368"/>
      <c r="Q13" s="122"/>
      <c r="R13" s="368"/>
      <c r="S13" s="121"/>
      <c r="T13" s="121"/>
      <c r="U13" s="121"/>
      <c r="V13" s="121"/>
    </row>
    <row r="14" spans="1:256" s="1631" customFormat="1" ht="0.75" customHeight="1">
      <c r="A14" s="924"/>
      <c r="B14" s="929"/>
      <c r="C14" s="924"/>
      <c r="D14" s="324"/>
      <c r="E14" s="924"/>
      <c r="F14" s="924"/>
      <c r="G14" s="924"/>
      <c r="H14" s="924"/>
      <c r="I14" s="924"/>
      <c r="J14" s="924"/>
      <c r="K14" s="924"/>
      <c r="L14" s="924"/>
      <c r="M14" s="368"/>
      <c r="N14" s="368"/>
      <c r="O14" s="368"/>
      <c r="P14" s="368"/>
      <c r="Q14" s="122"/>
      <c r="R14" s="368"/>
      <c r="S14" s="121"/>
      <c r="T14" s="121"/>
      <c r="U14" s="121"/>
      <c r="V14" s="12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dimension ref="A1:IY16"/>
  <sheetViews>
    <sheetView showGridLines="0" topLeftCell="D5" zoomScale="90" workbookViewId="0"/>
  </sheetViews>
  <sheetFormatPr defaultColWidth="9.140625" defaultRowHeight="14.25" customHeight="1"/>
  <cols>
    <col min="1" max="1" width="9.140625" style="1661" hidden="1"/>
    <col min="2" max="2" width="9.140625" style="1687" hidden="1"/>
    <col min="3" max="3" width="3.7109375" style="1661" hidden="1" customWidth="1"/>
    <col min="4" max="4" width="3.85546875" style="1677" customWidth="1"/>
    <col min="5" max="5" width="10.140625" style="1661" customWidth="1"/>
    <col min="6" max="6" width="6.28515625" style="1661" customWidth="1"/>
    <col min="7" max="7" width="27.28515625" style="1661" customWidth="1"/>
    <col min="8" max="8" width="29.28515625" style="1661" customWidth="1"/>
    <col min="9" max="9" width="25.42578125" style="1661" customWidth="1"/>
    <col min="10" max="10" width="5.5703125" style="1661" customWidth="1"/>
    <col min="11" max="11" width="6.5703125" style="1661" customWidth="1"/>
    <col min="12" max="12" width="41.85546875" style="1661" customWidth="1"/>
    <col min="13" max="13" width="42.42578125" style="1661" customWidth="1"/>
    <col min="14" max="14" width="41.5703125" style="1661" customWidth="1"/>
    <col min="15" max="15" width="64.140625" style="1661" customWidth="1"/>
    <col min="16" max="16" width="3.7109375" style="1632" customWidth="1"/>
    <col min="17" max="19" width="9.140625" style="1632"/>
    <col min="20" max="20" width="25.7109375" style="1629" customWidth="1"/>
    <col min="21" max="21" width="14.42578125" style="1632" customWidth="1"/>
    <col min="22" max="25" width="9.140625" style="1630"/>
    <col min="26" max="259" width="9.140625" style="1661"/>
  </cols>
  <sheetData>
    <row r="1" spans="1:259" ht="14.25" hidden="1" customHeight="1"/>
    <row r="2" spans="1:259" s="1633" customFormat="1" ht="22.5" hidden="1" customHeight="1">
      <c r="A2" s="364"/>
      <c r="B2" s="929">
        <v>1</v>
      </c>
      <c r="C2" s="929"/>
      <c r="D2" s="610"/>
      <c r="E2" s="2025"/>
      <c r="F2" s="2025">
        <v>1</v>
      </c>
      <c r="G2" s="2299" t="e">
        <f>IF(region_name="","",region_name)</f>
        <v>#REF!</v>
      </c>
      <c r="H2" s="2300"/>
      <c r="I2" s="2301"/>
      <c r="J2" s="343"/>
      <c r="K2" s="1254">
        <v>1</v>
      </c>
      <c r="L2" s="933"/>
      <c r="M2" s="933"/>
      <c r="N2" s="933"/>
      <c r="O2" s="933"/>
      <c r="P2" s="1304" t="e">
        <f ca="1">MERGEVALUE(G2)</f>
        <v>#NAME?</v>
      </c>
      <c r="Q2" s="379"/>
      <c r="R2" s="379"/>
      <c r="S2" s="368" t="str">
        <f t="array" ref="S2">IF(ISERROR(MATCH(MID(T2,1,250),MID(note_ter,1,250),0)),"n","y")</f>
        <v>n</v>
      </c>
      <c r="T2" s="379"/>
      <c r="U2" s="368"/>
      <c r="V2" s="929"/>
      <c r="W2" s="929"/>
      <c r="X2" s="299"/>
      <c r="Y2" s="929"/>
      <c r="Z2" s="929"/>
      <c r="AA2" s="929"/>
      <c r="AB2" s="301"/>
      <c r="AC2" s="301"/>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301"/>
      <c r="BZ2" s="301"/>
      <c r="CA2" s="301"/>
      <c r="CB2" s="301"/>
      <c r="CC2" s="301"/>
      <c r="CD2" s="301"/>
      <c r="CE2" s="301"/>
      <c r="CF2" s="301"/>
      <c r="CG2" s="301"/>
      <c r="CH2" s="301"/>
    </row>
    <row r="3" spans="1:259" s="1633" customFormat="1" ht="22.5" hidden="1" customHeight="1">
      <c r="A3" s="634"/>
      <c r="B3" s="929"/>
      <c r="C3" s="929"/>
      <c r="D3" s="610"/>
      <c r="E3" s="2025"/>
      <c r="F3" s="2025"/>
      <c r="G3" s="2299"/>
      <c r="H3" s="2300"/>
      <c r="I3" s="2302"/>
      <c r="J3" s="1313"/>
      <c r="K3" s="1270"/>
      <c r="L3" s="1270" t="s">
        <v>1037</v>
      </c>
      <c r="M3" s="1316"/>
      <c r="N3" s="1316"/>
      <c r="O3" s="1317"/>
      <c r="P3" s="1304"/>
      <c r="Q3" s="379"/>
      <c r="R3" s="379"/>
      <c r="S3" s="368"/>
      <c r="T3" s="379"/>
      <c r="U3" s="368"/>
      <c r="V3" s="929"/>
      <c r="W3" s="929"/>
      <c r="X3" s="299"/>
      <c r="Y3" s="929"/>
      <c r="Z3" s="929"/>
      <c r="AA3" s="929"/>
      <c r="AB3" s="301"/>
      <c r="AC3" s="301"/>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301"/>
      <c r="BZ3" s="301"/>
      <c r="CA3" s="301"/>
      <c r="CB3" s="301"/>
      <c r="CC3" s="301"/>
      <c r="CD3" s="301"/>
      <c r="CE3" s="301"/>
      <c r="CF3" s="301"/>
      <c r="CG3" s="301"/>
      <c r="CH3" s="301"/>
    </row>
    <row r="4" spans="1:259" s="1622" customFormat="1" ht="5.25" hidden="1" customHeight="1">
      <c r="A4" s="364"/>
      <c r="D4" s="362"/>
      <c r="G4" s="127" t="s">
        <v>17</v>
      </c>
      <c r="H4" s="362" t="s">
        <v>18</v>
      </c>
      <c r="I4" s="362"/>
      <c r="J4" s="1318"/>
      <c r="K4" s="1318"/>
      <c r="L4" s="1318"/>
      <c r="M4" s="1318"/>
      <c r="N4" s="1318"/>
      <c r="O4" s="1318"/>
      <c r="P4" s="127" t="s">
        <v>17</v>
      </c>
      <c r="Q4" s="127"/>
      <c r="R4" s="127"/>
      <c r="S4" s="127"/>
      <c r="T4" s="128"/>
      <c r="U4" s="127"/>
      <c r="V4" s="127"/>
      <c r="W4" s="127"/>
      <c r="X4" s="127"/>
      <c r="Y4" s="127"/>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row>
    <row r="5" spans="1:259" s="1631" customFormat="1" ht="14.25" customHeight="1">
      <c r="A5" s="924"/>
      <c r="B5" s="929"/>
      <c r="C5" s="924"/>
      <c r="D5" s="1265"/>
      <c r="E5" s="377"/>
      <c r="F5" s="377"/>
      <c r="G5" s="377"/>
      <c r="H5" s="377"/>
      <c r="I5" s="377"/>
      <c r="J5" s="377"/>
      <c r="K5" s="377"/>
      <c r="L5" s="377"/>
      <c r="M5" s="377"/>
      <c r="N5" s="377"/>
      <c r="O5" s="377"/>
      <c r="P5" s="127"/>
      <c r="Q5" s="368"/>
      <c r="R5" s="368"/>
      <c r="S5" s="368"/>
      <c r="T5" s="122"/>
      <c r="U5" s="368"/>
      <c r="V5" s="121"/>
      <c r="W5" s="121"/>
      <c r="X5" s="121"/>
      <c r="Y5" s="121"/>
    </row>
    <row r="6" spans="1:259" s="1631" customFormat="1" ht="25.5" customHeight="1">
      <c r="A6" s="924"/>
      <c r="B6" s="929"/>
      <c r="C6" s="924"/>
      <c r="D6" s="1265"/>
      <c r="E6" s="1955" t="s">
        <v>1038</v>
      </c>
      <c r="F6" s="1955"/>
      <c r="G6" s="1955"/>
      <c r="H6" s="1955"/>
      <c r="I6" s="1955"/>
      <c r="J6" s="1955"/>
      <c r="K6" s="1955"/>
      <c r="L6" s="1955"/>
      <c r="M6" s="1955"/>
      <c r="N6" s="1955"/>
      <c r="O6" s="1955"/>
      <c r="P6" s="127"/>
      <c r="Q6" s="368"/>
      <c r="R6" s="368"/>
      <c r="S6" s="368"/>
      <c r="T6" s="122"/>
      <c r="U6" s="368"/>
      <c r="V6" s="121"/>
      <c r="W6" s="121"/>
      <c r="X6" s="121"/>
      <c r="Y6" s="121"/>
    </row>
    <row r="7" spans="1:259" s="1631" customFormat="1" ht="14.25" customHeight="1">
      <c r="A7" s="924"/>
      <c r="B7" s="929"/>
      <c r="C7" s="924"/>
      <c r="D7" s="1265"/>
      <c r="E7" s="377"/>
      <c r="F7" s="377"/>
      <c r="G7" s="68"/>
      <c r="H7" s="68"/>
      <c r="I7" s="68"/>
      <c r="J7" s="68"/>
      <c r="K7" s="68"/>
      <c r="L7" s="68"/>
      <c r="M7" s="68"/>
      <c r="N7" s="68"/>
      <c r="O7" s="68"/>
      <c r="P7" s="368"/>
      <c r="Q7" s="368"/>
      <c r="R7" s="368"/>
      <c r="S7" s="368"/>
      <c r="T7" s="122"/>
      <c r="U7" s="368"/>
      <c r="V7" s="121"/>
      <c r="W7" s="121"/>
      <c r="X7" s="121"/>
      <c r="Y7" s="121"/>
    </row>
    <row r="8" spans="1:259" s="1830" customFormat="1" ht="42.75" customHeight="1">
      <c r="A8" s="1239"/>
      <c r="B8" s="1248"/>
      <c r="C8" s="1239"/>
      <c r="D8" s="1265"/>
      <c r="E8" s="1326" t="s">
        <v>225</v>
      </c>
      <c r="F8" s="1326"/>
      <c r="G8" s="1327" t="s">
        <v>229</v>
      </c>
      <c r="H8" s="1327" t="s">
        <v>1039</v>
      </c>
      <c r="I8" s="1327" t="s">
        <v>233</v>
      </c>
      <c r="J8" s="2306"/>
      <c r="K8" s="2307"/>
      <c r="L8" s="2308"/>
      <c r="M8" s="1327" t="s">
        <v>1040</v>
      </c>
      <c r="N8" s="1327" t="s">
        <v>1041</v>
      </c>
      <c r="O8" s="1327" t="s">
        <v>1042</v>
      </c>
      <c r="P8" s="1319"/>
      <c r="Q8" s="1319"/>
      <c r="R8" s="1319"/>
      <c r="S8" s="1319"/>
      <c r="T8" s="1320"/>
      <c r="U8" s="1319"/>
      <c r="V8" s="1321"/>
      <c r="W8" s="1321"/>
      <c r="X8" s="1321"/>
      <c r="Y8" s="1321"/>
    </row>
    <row r="9" spans="1:259" s="1631" customFormat="1" ht="47.25" customHeight="1">
      <c r="A9" s="924"/>
      <c r="B9" s="929"/>
      <c r="C9" s="924"/>
      <c r="D9" s="1265"/>
      <c r="E9" s="2093" t="s">
        <v>224</v>
      </c>
      <c r="F9" s="2295" t="s">
        <v>22</v>
      </c>
      <c r="G9" s="2295" t="s">
        <v>228</v>
      </c>
      <c r="H9" s="2295" t="s">
        <v>1043</v>
      </c>
      <c r="I9" s="2295"/>
      <c r="J9" s="2295" t="s">
        <v>1044</v>
      </c>
      <c r="K9" s="2295"/>
      <c r="L9" s="2295"/>
      <c r="M9" s="2295" t="s">
        <v>1045</v>
      </c>
      <c r="N9" s="2295" t="s">
        <v>1046</v>
      </c>
      <c r="O9" s="229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368"/>
      <c r="Q9" s="368"/>
      <c r="R9" s="368"/>
      <c r="S9" s="368"/>
      <c r="T9" s="122"/>
      <c r="U9" s="368"/>
      <c r="V9" s="121"/>
      <c r="W9" s="121"/>
      <c r="X9" s="121"/>
      <c r="Y9" s="121"/>
    </row>
    <row r="10" spans="1:259" s="1631" customFormat="1" ht="63.75" customHeight="1">
      <c r="A10" s="924"/>
      <c r="B10" s="929"/>
      <c r="C10" s="924"/>
      <c r="D10" s="1265"/>
      <c r="E10" s="2025"/>
      <c r="F10" s="2305"/>
      <c r="G10" s="2305"/>
      <c r="H10" s="73" t="s">
        <v>1047</v>
      </c>
      <c r="I10" s="73" t="s">
        <v>232</v>
      </c>
      <c r="J10" s="2294"/>
      <c r="K10" s="2294"/>
      <c r="L10" s="2305"/>
      <c r="M10" s="2305"/>
      <c r="N10" s="2305"/>
      <c r="O10" s="2305"/>
      <c r="P10" s="368"/>
      <c r="Q10" s="368"/>
      <c r="R10" s="368"/>
      <c r="S10" s="368"/>
      <c r="T10" s="122"/>
      <c r="U10" s="368"/>
      <c r="V10" s="121"/>
      <c r="W10" s="121"/>
      <c r="X10" s="121"/>
      <c r="Y10" s="121"/>
    </row>
    <row r="11" spans="1:259" s="1633" customFormat="1" ht="22.5" customHeight="1">
      <c r="A11" s="1954">
        <v>26379339</v>
      </c>
      <c r="B11" s="929">
        <v>1</v>
      </c>
      <c r="C11" s="929"/>
      <c r="D11" s="610"/>
      <c r="E11" s="2093"/>
      <c r="F11" s="2093">
        <v>1</v>
      </c>
      <c r="G11" s="2303" t="e">
        <f>IF(region_name="","",region_name)</f>
        <v>#REF!</v>
      </c>
      <c r="H11" s="2304"/>
      <c r="I11" s="2309"/>
      <c r="J11" s="343"/>
      <c r="K11" s="1254">
        <v>1</v>
      </c>
      <c r="L11" s="1328"/>
      <c r="M11" s="1315"/>
      <c r="N11" s="1315"/>
      <c r="O11" s="1314"/>
      <c r="P11" s="1304" t="e">
        <f ca="1">MERGEVALUE(G11)</f>
        <v>#NAME?</v>
      </c>
      <c r="Q11" s="379"/>
      <c r="R11" s="379"/>
      <c r="S11" s="368" t="str">
        <f t="array" ref="S11">IF(ISERROR(MATCH(MID(T11,1,250),MID(note_ter,1,250),0)),"n","y")</f>
        <v>n</v>
      </c>
      <c r="T11" s="379"/>
      <c r="U11" s="368"/>
      <c r="V11" s="929"/>
      <c r="W11" s="929"/>
      <c r="X11" s="299"/>
      <c r="Y11" s="929"/>
      <c r="Z11" s="929"/>
      <c r="AA11" s="929"/>
      <c r="AB11" s="301"/>
      <c r="AC11" s="301"/>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301"/>
      <c r="BZ11" s="301"/>
      <c r="CA11" s="301"/>
      <c r="CB11" s="301"/>
      <c r="CC11" s="301"/>
      <c r="CD11" s="301"/>
      <c r="CE11" s="301"/>
      <c r="CF11" s="301"/>
      <c r="CG11" s="301"/>
      <c r="CH11" s="301"/>
    </row>
    <row r="12" spans="1:259" s="1633" customFormat="1" ht="22.5" customHeight="1">
      <c r="A12" s="1954"/>
      <c r="B12" s="929"/>
      <c r="C12" s="929"/>
      <c r="D12" s="610"/>
      <c r="E12" s="2093"/>
      <c r="F12" s="2093"/>
      <c r="G12" s="2303"/>
      <c r="H12" s="2304"/>
      <c r="I12" s="2310"/>
      <c r="J12" s="1313"/>
      <c r="K12" s="1270"/>
      <c r="L12" s="1270" t="s">
        <v>1037</v>
      </c>
      <c r="M12" s="1316"/>
      <c r="N12" s="1316"/>
      <c r="O12" s="1317"/>
      <c r="P12" s="1304"/>
      <c r="Q12" s="379"/>
      <c r="R12" s="379"/>
      <c r="S12" s="368"/>
      <c r="T12" s="379"/>
      <c r="U12" s="368"/>
      <c r="V12" s="929"/>
      <c r="W12" s="929"/>
      <c r="X12" s="299"/>
      <c r="Y12" s="929"/>
      <c r="Z12" s="929"/>
      <c r="AA12" s="929"/>
      <c r="AB12" s="301"/>
      <c r="AC12" s="301"/>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301"/>
      <c r="BZ12" s="301"/>
      <c r="CA12" s="301"/>
      <c r="CB12" s="301"/>
      <c r="CC12" s="301"/>
      <c r="CD12" s="301"/>
      <c r="CE12" s="301"/>
      <c r="CF12" s="301"/>
      <c r="CG12" s="301"/>
      <c r="CH12" s="301"/>
    </row>
    <row r="13" spans="1:259" s="1633" customFormat="1" ht="22.5" customHeight="1">
      <c r="A13" s="1954"/>
      <c r="B13" s="929"/>
      <c r="C13" s="293"/>
      <c r="D13" s="610"/>
      <c r="E13" s="1310"/>
      <c r="F13" s="1313"/>
      <c r="G13" s="1270" t="s">
        <v>1031</v>
      </c>
      <c r="H13" s="1311"/>
      <c r="I13" s="1311"/>
      <c r="J13" s="87"/>
      <c r="K13" s="87"/>
      <c r="L13" s="87"/>
      <c r="M13" s="87"/>
      <c r="N13" s="87"/>
      <c r="O13" s="1312"/>
      <c r="P13" s="1305"/>
      <c r="Q13" s="379"/>
      <c r="R13" s="379"/>
      <c r="S13" s="379"/>
      <c r="T13" s="368"/>
      <c r="U13" s="379"/>
      <c r="V13" s="929"/>
      <c r="W13" s="929"/>
      <c r="X13" s="299"/>
      <c r="Y13" s="929"/>
      <c r="Z13" s="929"/>
      <c r="AA13" s="929"/>
      <c r="AB13" s="301"/>
      <c r="AC13" s="301"/>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301"/>
      <c r="BZ13" s="301"/>
      <c r="CA13" s="301"/>
      <c r="CB13" s="301"/>
      <c r="CC13" s="301"/>
      <c r="CD13" s="301"/>
      <c r="CE13" s="301"/>
      <c r="CF13" s="301"/>
      <c r="CG13" s="301"/>
      <c r="CH13" s="301"/>
    </row>
    <row r="14" spans="1:259" s="1631" customFormat="1" ht="21" customHeight="1">
      <c r="A14" s="924"/>
      <c r="B14" s="929"/>
      <c r="C14" s="924"/>
      <c r="D14" s="324"/>
      <c r="E14" s="80"/>
      <c r="F14" s="80"/>
      <c r="G14" s="80"/>
      <c r="H14" s="80"/>
      <c r="I14" s="80"/>
      <c r="J14" s="80"/>
      <c r="K14" s="80"/>
      <c r="L14" s="80"/>
      <c r="M14" s="80"/>
      <c r="N14" s="377"/>
      <c r="O14" s="377"/>
      <c r="P14" s="368"/>
      <c r="Q14" s="368"/>
      <c r="R14" s="368"/>
      <c r="S14" s="368"/>
      <c r="T14" s="122"/>
      <c r="U14" s="368"/>
      <c r="V14" s="121"/>
      <c r="W14" s="121"/>
      <c r="X14" s="121"/>
      <c r="Y14" s="121"/>
    </row>
    <row r="15" spans="1:259" s="1631" customFormat="1" ht="14.25" customHeight="1">
      <c r="A15" s="924"/>
      <c r="B15" s="929"/>
      <c r="C15" s="924"/>
      <c r="D15" s="324"/>
      <c r="E15" s="924"/>
      <c r="F15" s="924"/>
      <c r="G15" s="924"/>
      <c r="H15" s="924"/>
      <c r="I15" s="924"/>
      <c r="J15" s="924"/>
      <c r="K15" s="924"/>
      <c r="L15" s="924"/>
      <c r="M15" s="924"/>
      <c r="N15" s="924"/>
      <c r="O15" s="924"/>
      <c r="P15" s="368"/>
      <c r="Q15" s="368"/>
      <c r="R15" s="368"/>
      <c r="S15" s="368"/>
      <c r="T15" s="122"/>
      <c r="U15" s="368"/>
      <c r="V15" s="121"/>
      <c r="W15" s="121"/>
      <c r="X15" s="121"/>
      <c r="Y15" s="121"/>
    </row>
    <row r="16" spans="1:259" s="1631" customFormat="1" ht="0.75" customHeight="1">
      <c r="A16" s="924"/>
      <c r="B16" s="929"/>
      <c r="C16" s="924"/>
      <c r="D16" s="324"/>
      <c r="E16" s="924"/>
      <c r="F16" s="924"/>
      <c r="G16" s="924"/>
      <c r="H16" s="924"/>
      <c r="I16" s="924"/>
      <c r="J16" s="924"/>
      <c r="K16" s="924"/>
      <c r="L16" s="924"/>
      <c r="M16" s="924"/>
      <c r="N16" s="924"/>
      <c r="O16" s="924"/>
      <c r="P16" s="368"/>
      <c r="Q16" s="368"/>
      <c r="R16" s="368"/>
      <c r="S16" s="368"/>
      <c r="T16" s="122"/>
      <c r="U16" s="368"/>
      <c r="V16" s="121"/>
      <c r="W16" s="121"/>
      <c r="X16" s="121"/>
      <c r="Y16" s="121"/>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sheetPr>
    <tabColor rgb="FFCCCCFF"/>
  </sheetPr>
  <dimension ref="A1:E4"/>
  <sheetViews>
    <sheetView showGridLines="0" zoomScale="90" workbookViewId="0"/>
  </sheetViews>
  <sheetFormatPr defaultColWidth="9.140625" defaultRowHeight="11.25" customHeight="1"/>
  <cols>
    <col min="1" max="1" width="1.7109375" style="1831" customWidth="1"/>
    <col min="2" max="2" width="34.5703125" style="1831" customWidth="1"/>
    <col min="3" max="3" width="85.5703125" style="1831" customWidth="1"/>
    <col min="4" max="4" width="17.7109375" style="1831" customWidth="1"/>
    <col min="5" max="5" width="9.140625" style="1831"/>
  </cols>
  <sheetData>
    <row r="1" spans="2:5" ht="3" customHeight="1"/>
    <row r="2" spans="2:5" ht="22.5" customHeight="1">
      <c r="B2" s="2311" t="s">
        <v>1048</v>
      </c>
      <c r="C2" s="2311"/>
      <c r="D2" s="2311"/>
      <c r="E2" s="147"/>
    </row>
    <row r="3" spans="2:5" ht="3" customHeight="1"/>
    <row r="4" spans="2:5" ht="21.75" customHeight="1">
      <c r="B4" s="273" t="s">
        <v>1049</v>
      </c>
      <c r="C4" s="273" t="s">
        <v>1050</v>
      </c>
      <c r="D4" s="273" t="s">
        <v>1051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sheetPr>
    <tabColor rgb="FFFFCC99"/>
  </sheetPr>
  <dimension ref="A2:GB207"/>
  <sheetViews>
    <sheetView showGridLines="0" zoomScale="85" workbookViewId="0"/>
  </sheetViews>
  <sheetFormatPr defaultRowHeight="17.100000000000001" customHeight="1"/>
  <cols>
    <col min="1" max="1" width="26.5703125" style="1831" customWidth="1"/>
    <col min="2" max="2" width="10" style="1831" customWidth="1"/>
    <col min="3" max="3" width="9.140625" style="1831"/>
    <col min="4" max="4" width="11.140625" style="1831" customWidth="1"/>
    <col min="5" max="5" width="16.5703125" style="1831" customWidth="1"/>
    <col min="6" max="6" width="16.28515625" style="1831" customWidth="1"/>
    <col min="7" max="7" width="19.140625" style="1831" customWidth="1"/>
    <col min="8" max="11" width="10" style="1831" customWidth="1"/>
    <col min="12" max="12" width="12.7109375" style="1831" customWidth="1"/>
    <col min="13" max="13" width="61.28515625" style="1831" customWidth="1"/>
    <col min="14" max="14" width="10" style="1831" customWidth="1"/>
    <col min="15" max="17" width="23.7109375" style="1831" customWidth="1"/>
    <col min="18" max="18" width="11.7109375" style="1831" customWidth="1"/>
    <col min="19" max="19" width="8.5703125" style="1831" customWidth="1"/>
    <col min="20" max="20" width="11.7109375" style="1831" customWidth="1"/>
    <col min="21" max="21" width="8.5703125" style="1831" customWidth="1"/>
    <col min="22" max="22" width="4.7109375" style="1831" customWidth="1"/>
    <col min="23" max="23" width="115.7109375" style="1831" customWidth="1"/>
    <col min="24" max="24" width="115.28515625" style="1831" customWidth="1"/>
    <col min="25" max="27" width="9.140625" style="1831"/>
    <col min="28" max="28" width="115.7109375" style="1831" customWidth="1"/>
    <col min="29" max="29" width="9.140625" style="1831"/>
    <col min="30" max="90" width="115.7109375" style="1831" customWidth="1"/>
    <col min="91" max="184" width="9.140625" style="1831"/>
  </cols>
  <sheetData>
    <row r="2" spans="1:80" s="1832" customFormat="1" ht="17.25" customHeight="1">
      <c r="A2" s="1547" t="s">
        <v>1052</v>
      </c>
    </row>
    <row r="4" spans="1:80" s="1826" customFormat="1" ht="15" customHeight="1">
      <c r="C4" s="1548"/>
      <c r="D4" s="28"/>
      <c r="E4" s="264"/>
    </row>
    <row r="6" spans="1:80" s="1832" customFormat="1" ht="17.25" customHeight="1">
      <c r="A6" s="1547" t="s">
        <v>1053</v>
      </c>
    </row>
    <row r="8" spans="1:80" s="1826" customFormat="1" ht="17.25" customHeight="1">
      <c r="C8" s="1549"/>
      <c r="D8" s="28"/>
      <c r="E8" s="29"/>
    </row>
    <row r="11" spans="1:80" s="1832" customFormat="1" ht="17.25" customHeight="1">
      <c r="A11" s="1547" t="s">
        <v>1054</v>
      </c>
    </row>
    <row r="13" spans="1:80" s="1833" customFormat="1" ht="15" customHeight="1">
      <c r="A13" s="2085">
        <v>1</v>
      </c>
      <c r="B13" s="929"/>
      <c r="C13" s="610" t="s">
        <v>56</v>
      </c>
      <c r="D13" s="1550"/>
      <c r="E13" s="1537">
        <f>A13</f>
        <v>1</v>
      </c>
      <c r="F13" s="613"/>
      <c r="G13" s="398" t="str">
        <f>"Территория "&amp;E13</f>
        <v>Территория 1</v>
      </c>
      <c r="H13" s="601"/>
      <c r="I13" s="601"/>
      <c r="J13" s="598"/>
      <c r="K13" s="1396"/>
      <c r="L13" s="1396"/>
      <c r="M13" s="1396"/>
      <c r="N13" s="122"/>
      <c r="O13" s="1396"/>
      <c r="P13" s="121"/>
      <c r="Q13" s="121"/>
      <c r="R13" s="121"/>
      <c r="S13" s="121"/>
    </row>
    <row r="14" spans="1:80" s="1633" customFormat="1" ht="15" customHeight="1">
      <c r="A14" s="2085"/>
      <c r="B14" s="929">
        <v>1</v>
      </c>
      <c r="C14" s="929"/>
      <c r="D14" s="609"/>
      <c r="E14" s="1545" t="str">
        <f>A13&amp;"."&amp;B14</f>
        <v>1.1</v>
      </c>
      <c r="F14" s="612">
        <f>$F$20</f>
        <v>0</v>
      </c>
      <c r="G14" s="602"/>
      <c r="H14" s="602"/>
      <c r="I14" s="600"/>
      <c r="J14" s="1396"/>
      <c r="K14" s="1406"/>
      <c r="L14" s="1406"/>
      <c r="M14" s="1396" t="str">
        <f t="array" ref="M14">IF(ISERROR(MATCH(MID(N14,1,250),MID(note_ter,1,250),0)),"n","y")</f>
        <v>n</v>
      </c>
      <c r="N14" s="1406"/>
      <c r="O14" s="1396" t="str">
        <f>H14&amp;"("&amp;I14&amp;")"</f>
        <v>()</v>
      </c>
      <c r="P14" s="929"/>
      <c r="Q14" s="929"/>
      <c r="R14" s="299"/>
      <c r="S14" s="929"/>
      <c r="T14" s="929"/>
      <c r="U14" s="929"/>
      <c r="V14" s="301"/>
      <c r="W14" s="301"/>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301"/>
      <c r="BT14" s="301"/>
      <c r="BU14" s="301"/>
      <c r="BV14" s="301"/>
      <c r="BW14" s="301"/>
      <c r="BX14" s="301"/>
      <c r="BY14" s="301"/>
      <c r="BZ14" s="301"/>
      <c r="CA14" s="301"/>
      <c r="CB14" s="301"/>
    </row>
    <row r="15" spans="1:80" s="1633" customFormat="1" ht="15" customHeight="1">
      <c r="A15" s="2085"/>
      <c r="B15" s="929"/>
      <c r="C15" s="293"/>
      <c r="D15" s="610"/>
      <c r="E15" s="300"/>
      <c r="F15" s="77"/>
      <c r="G15" s="295" t="s">
        <v>36</v>
      </c>
      <c r="H15" s="87"/>
      <c r="I15" s="303"/>
      <c r="J15" s="1406"/>
      <c r="K15" s="1406"/>
      <c r="L15" s="1406"/>
      <c r="M15" s="1406"/>
      <c r="N15" s="1396"/>
      <c r="O15" s="1406"/>
      <c r="P15" s="929"/>
      <c r="Q15" s="929"/>
      <c r="R15" s="299"/>
      <c r="S15" s="929"/>
      <c r="T15" s="929"/>
      <c r="U15" s="929"/>
      <c r="V15" s="301"/>
      <c r="W15" s="301"/>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301"/>
      <c r="BT15" s="301"/>
      <c r="BU15" s="301"/>
      <c r="BV15" s="301"/>
      <c r="BW15" s="301"/>
      <c r="BX15" s="301"/>
      <c r="BY15" s="301"/>
      <c r="BZ15" s="301"/>
      <c r="CA15" s="301"/>
      <c r="CB15" s="301"/>
    </row>
    <row r="17" spans="1:80" s="1832" customFormat="1" ht="17.25" customHeight="1">
      <c r="A17" s="1547" t="s">
        <v>1055</v>
      </c>
    </row>
    <row r="19" spans="1:80" s="1757" customFormat="1" ht="15" customHeight="1">
      <c r="A19" s="1613"/>
      <c r="B19" s="1146">
        <v>1</v>
      </c>
      <c r="C19" s="1146"/>
      <c r="D19" s="609" t="s">
        <v>56</v>
      </c>
      <c r="E19" s="1609"/>
      <c r="F19" s="1614">
        <f>$F$20</f>
        <v>0</v>
      </c>
      <c r="G19" s="1618"/>
      <c r="H19" s="1618"/>
      <c r="I19" s="1616"/>
      <c r="J19" s="1396"/>
      <c r="K19" s="1406"/>
      <c r="L19" s="1406"/>
      <c r="M19" s="1396" t="str">
        <f t="array" ref="M19">IF(ISERROR(MATCH(MID(N19,1,250),MID(note_ter,1,250),0)),"n","y")</f>
        <v>n</v>
      </c>
      <c r="N19" s="1406"/>
      <c r="O19" s="1396" t="str">
        <f>H19&amp;"("&amp;I19&amp;")"</f>
        <v>()</v>
      </c>
      <c r="P19" s="1146"/>
      <c r="Q19" s="1146"/>
      <c r="R19" s="299"/>
      <c r="S19" s="1146"/>
      <c r="T19" s="1146"/>
      <c r="U19" s="1146"/>
      <c r="V19" s="636"/>
      <c r="W19" s="636"/>
      <c r="X19" s="468"/>
      <c r="Y19" s="468"/>
      <c r="Z19" s="468"/>
      <c r="AA19" s="468"/>
      <c r="AB19" s="468"/>
      <c r="AC19" s="468"/>
      <c r="AD19" s="468"/>
      <c r="AE19" s="468"/>
      <c r="AF19" s="468"/>
      <c r="AG19" s="468"/>
      <c r="AH19" s="468"/>
      <c r="AI19" s="468"/>
      <c r="AJ19" s="468"/>
      <c r="AK19" s="468"/>
      <c r="AL19" s="468"/>
      <c r="AM19" s="468"/>
      <c r="AN19" s="468"/>
      <c r="AO19" s="468"/>
      <c r="AP19" s="468"/>
      <c r="AQ19" s="468"/>
      <c r="AR19" s="468"/>
      <c r="AS19" s="468"/>
      <c r="AT19" s="468"/>
      <c r="AU19" s="468"/>
      <c r="AV19" s="468"/>
      <c r="AW19" s="468"/>
      <c r="AX19" s="468"/>
      <c r="AY19" s="468"/>
      <c r="AZ19" s="468"/>
      <c r="BA19" s="468"/>
      <c r="BB19" s="468"/>
      <c r="BC19" s="468"/>
      <c r="BD19" s="468"/>
      <c r="BE19" s="468"/>
      <c r="BF19" s="468"/>
      <c r="BG19" s="468"/>
      <c r="BH19" s="468"/>
      <c r="BI19" s="468"/>
      <c r="BJ19" s="468"/>
      <c r="BK19" s="468"/>
      <c r="BL19" s="468"/>
      <c r="BM19" s="468"/>
      <c r="BN19" s="468"/>
      <c r="BO19" s="468"/>
      <c r="BP19" s="468"/>
      <c r="BQ19" s="468"/>
      <c r="BR19" s="468"/>
      <c r="BS19" s="636"/>
      <c r="BT19" s="636"/>
      <c r="BU19" s="636"/>
      <c r="BV19" s="636"/>
      <c r="BW19" s="636"/>
      <c r="BX19" s="636"/>
      <c r="BY19" s="636"/>
      <c r="BZ19" s="636"/>
      <c r="CA19" s="636"/>
      <c r="CB19" s="636"/>
    </row>
    <row r="21" spans="1:80" s="1633" customFormat="1" ht="15" customHeight="1">
      <c r="A21" s="1547" t="s">
        <v>1056</v>
      </c>
      <c r="B21" s="1547"/>
      <c r="C21" s="1547"/>
      <c r="D21" s="1547"/>
      <c r="E21" s="1547"/>
      <c r="F21" s="1547"/>
      <c r="G21" s="1547"/>
      <c r="H21" s="1547"/>
      <c r="I21" s="1547"/>
      <c r="J21" s="1547"/>
      <c r="K21" s="1547"/>
      <c r="L21" s="1547"/>
      <c r="M21" s="1547"/>
      <c r="N21" s="1547"/>
      <c r="O21" s="1547"/>
      <c r="P21" s="1547"/>
      <c r="Q21" s="1547"/>
      <c r="R21" s="1547"/>
      <c r="S21" s="1547"/>
      <c r="T21" s="1547"/>
      <c r="U21" s="84"/>
      <c r="V21" s="1547"/>
      <c r="W21" s="1547"/>
    </row>
    <row r="22" spans="1:80" s="1633" customFormat="1" ht="15" customHeight="1">
      <c r="U22" s="85"/>
    </row>
    <row r="23" spans="1:80" s="1834" customFormat="1" ht="15" customHeight="1">
      <c r="A23" s="302"/>
      <c r="B23" s="302"/>
      <c r="C23" s="1468" t="s">
        <v>56</v>
      </c>
      <c r="D23" s="2212" t="s">
        <v>43</v>
      </c>
      <c r="E23" s="2343"/>
      <c r="F23" s="2109" t="s">
        <v>15</v>
      </c>
      <c r="G23" s="2346"/>
      <c r="H23" s="2025">
        <v>1</v>
      </c>
      <c r="I23" s="2348" t="str">
        <f>IF(U23="","",INDEX(TERRITORY_MR_LIST,MATCH(U23,TERRITORY_LIST_ID,0)))</f>
        <v/>
      </c>
      <c r="J23" s="2109" t="s">
        <v>15</v>
      </c>
      <c r="K23" s="635"/>
      <c r="L23" s="1514" t="s">
        <v>43</v>
      </c>
      <c r="M23" s="446"/>
      <c r="N23" s="447"/>
      <c r="O23" s="447"/>
      <c r="P23" s="447"/>
      <c r="Q23" s="447"/>
      <c r="R23" s="447"/>
      <c r="S23" s="447"/>
      <c r="T23" s="447"/>
      <c r="U23" s="448"/>
      <c r="V23" s="447"/>
      <c r="W23" s="447"/>
      <c r="X23" s="445"/>
      <c r="Y23" s="445" t="s">
        <v>53</v>
      </c>
      <c r="Z23" s="445">
        <v>1705000</v>
      </c>
      <c r="AA23" s="445"/>
      <c r="AB23" s="445"/>
      <c r="AC23" s="445"/>
      <c r="AD23" s="445"/>
      <c r="AE23" s="445"/>
      <c r="AF23" s="445"/>
      <c r="AG23" s="445"/>
      <c r="AH23" s="445"/>
      <c r="AI23" s="445"/>
      <c r="AJ23" s="445"/>
      <c r="AK23" s="445"/>
      <c r="AL23" s="445"/>
    </row>
    <row r="24" spans="1:80" s="1834" customFormat="1" ht="15" customHeight="1">
      <c r="A24" s="302"/>
      <c r="B24" s="302"/>
      <c r="C24" s="76"/>
      <c r="D24" s="2212"/>
      <c r="E24" s="2344"/>
      <c r="F24" s="2109"/>
      <c r="G24" s="2347"/>
      <c r="H24" s="2025"/>
      <c r="I24" s="2349"/>
      <c r="J24" s="2109"/>
      <c r="K24" s="300"/>
      <c r="L24" s="77"/>
      <c r="M24" s="449" t="s">
        <v>54</v>
      </c>
      <c r="N24" s="447"/>
      <c r="O24" s="447"/>
      <c r="P24" s="447"/>
      <c r="Q24" s="447"/>
      <c r="R24" s="447"/>
      <c r="S24" s="447"/>
      <c r="T24" s="447"/>
      <c r="U24" s="448"/>
      <c r="V24" s="447"/>
      <c r="W24" s="447"/>
      <c r="X24" s="445"/>
      <c r="Y24" s="445"/>
      <c r="Z24" s="445"/>
      <c r="AA24" s="445"/>
      <c r="AB24" s="445"/>
      <c r="AC24" s="445"/>
      <c r="AD24" s="445"/>
      <c r="AE24" s="445"/>
      <c r="AF24" s="445"/>
      <c r="AG24" s="445"/>
      <c r="AH24" s="445"/>
      <c r="AI24" s="445"/>
      <c r="AJ24" s="445"/>
      <c r="AK24" s="445"/>
      <c r="AL24" s="445"/>
    </row>
    <row r="25" spans="1:80" s="1834" customFormat="1" ht="15" customHeight="1">
      <c r="A25" s="302"/>
      <c r="B25" s="302"/>
      <c r="C25" s="76"/>
      <c r="D25" s="2212"/>
      <c r="E25" s="2345"/>
      <c r="F25" s="2109"/>
      <c r="G25" s="300"/>
      <c r="H25" s="77"/>
      <c r="I25" s="438" t="s">
        <v>55</v>
      </c>
      <c r="J25" s="77"/>
      <c r="K25" s="77"/>
      <c r="L25" s="77"/>
      <c r="M25" s="450"/>
      <c r="N25" s="447"/>
      <c r="O25" s="447"/>
      <c r="P25" s="447"/>
      <c r="Q25" s="447"/>
      <c r="R25" s="447"/>
      <c r="S25" s="447"/>
      <c r="T25" s="447"/>
      <c r="U25" s="448"/>
      <c r="V25" s="447"/>
      <c r="W25" s="447"/>
      <c r="X25" s="445"/>
      <c r="Y25" s="445"/>
      <c r="Z25" s="445"/>
      <c r="AA25" s="445"/>
      <c r="AB25" s="445"/>
      <c r="AC25" s="445"/>
      <c r="AD25" s="445"/>
      <c r="AE25" s="445"/>
      <c r="AF25" s="445"/>
      <c r="AG25" s="445"/>
      <c r="AH25" s="445"/>
      <c r="AI25" s="445"/>
      <c r="AJ25" s="445"/>
      <c r="AK25" s="445"/>
      <c r="AL25" s="445"/>
    </row>
    <row r="26" spans="1:80" s="1633" customFormat="1" ht="15" customHeight="1">
      <c r="U26" s="85"/>
    </row>
    <row r="27" spans="1:80" s="1633" customFormat="1" ht="15" customHeight="1">
      <c r="A27" s="1547" t="s">
        <v>1057</v>
      </c>
      <c r="B27" s="1547"/>
      <c r="C27" s="1547"/>
      <c r="D27" s="1547"/>
      <c r="E27" s="1547"/>
      <c r="F27" s="1547"/>
      <c r="G27" s="1547"/>
      <c r="H27" s="1547"/>
      <c r="I27" s="1547"/>
      <c r="J27" s="1547"/>
      <c r="K27" s="1547"/>
      <c r="L27" s="1547"/>
      <c r="M27" s="1547"/>
      <c r="N27" s="1547"/>
      <c r="O27" s="1547"/>
      <c r="P27" s="1547"/>
      <c r="Q27" s="1547"/>
      <c r="R27" s="1547"/>
      <c r="S27" s="1547"/>
      <c r="T27" s="1547"/>
      <c r="U27" s="84"/>
      <c r="V27" s="1547"/>
      <c r="W27" s="1547"/>
    </row>
    <row r="28" spans="1:80" s="1633" customFormat="1" ht="15" customHeight="1">
      <c r="U28" s="85"/>
    </row>
    <row r="29" spans="1:80" s="1834" customFormat="1" ht="15" customHeight="1">
      <c r="A29" s="302"/>
      <c r="B29" s="302"/>
      <c r="C29" s="76"/>
      <c r="D29" s="1551"/>
      <c r="E29" s="1551"/>
      <c r="F29" s="1551"/>
      <c r="G29" s="2350" t="s">
        <v>56</v>
      </c>
      <c r="H29" s="1958">
        <v>1</v>
      </c>
      <c r="I29" s="2351" t="str">
        <f>IF(U29="","",INDEX(TERRITORY_MR_LIST,MATCH(U29,TERRITORY_LIST_ID,0)))</f>
        <v/>
      </c>
      <c r="J29" s="2109" t="s">
        <v>15</v>
      </c>
      <c r="K29" s="635"/>
      <c r="L29" s="1514" t="s">
        <v>43</v>
      </c>
      <c r="M29" s="446"/>
      <c r="N29" s="447"/>
      <c r="O29" s="447"/>
      <c r="P29" s="447"/>
      <c r="Q29" s="447"/>
      <c r="R29" s="447"/>
      <c r="S29" s="447"/>
      <c r="T29" s="447"/>
      <c r="U29" s="448"/>
      <c r="V29" s="447"/>
      <c r="W29" s="447"/>
      <c r="X29" s="445"/>
      <c r="Y29" s="445" t="s">
        <v>53</v>
      </c>
      <c r="Z29" s="445">
        <v>1705000</v>
      </c>
      <c r="AA29" s="445"/>
      <c r="AB29" s="445"/>
      <c r="AC29" s="445"/>
      <c r="AD29" s="445"/>
      <c r="AE29" s="445"/>
      <c r="AF29" s="445"/>
      <c r="AG29" s="445"/>
      <c r="AH29" s="445"/>
      <c r="AI29" s="445"/>
      <c r="AJ29" s="445"/>
      <c r="AK29" s="445"/>
      <c r="AL29" s="445"/>
    </row>
    <row r="30" spans="1:80" s="1834" customFormat="1" ht="15" customHeight="1">
      <c r="A30" s="302"/>
      <c r="B30" s="302"/>
      <c r="C30" s="76"/>
      <c r="D30" s="1551"/>
      <c r="E30" s="1551"/>
      <c r="F30" s="1551"/>
      <c r="G30" s="2350"/>
      <c r="H30" s="1958"/>
      <c r="I30" s="2351"/>
      <c r="J30" s="2109"/>
      <c r="K30" s="300"/>
      <c r="L30" s="77"/>
      <c r="M30" s="449" t="s">
        <v>54</v>
      </c>
      <c r="N30" s="447"/>
      <c r="O30" s="447"/>
      <c r="P30" s="447"/>
      <c r="Q30" s="447"/>
      <c r="R30" s="447"/>
      <c r="S30" s="447"/>
      <c r="T30" s="447"/>
      <c r="U30" s="448"/>
      <c r="V30" s="447"/>
      <c r="W30" s="447"/>
      <c r="X30" s="445"/>
      <c r="Y30" s="445"/>
      <c r="Z30" s="445"/>
      <c r="AA30" s="445"/>
      <c r="AB30" s="445"/>
      <c r="AC30" s="445"/>
      <c r="AD30" s="445"/>
      <c r="AE30" s="445"/>
      <c r="AF30" s="445"/>
      <c r="AG30" s="445"/>
      <c r="AH30" s="445"/>
      <c r="AI30" s="445"/>
      <c r="AJ30" s="445"/>
      <c r="AK30" s="445"/>
      <c r="AL30" s="445"/>
    </row>
    <row r="31" spans="1:80" s="1633" customFormat="1" ht="15" customHeight="1">
      <c r="U31" s="85"/>
    </row>
    <row r="32" spans="1:80" s="1633" customFormat="1" ht="15" customHeight="1">
      <c r="A32" s="1547" t="s">
        <v>1058</v>
      </c>
      <c r="B32" s="1547"/>
      <c r="C32" s="1547"/>
      <c r="D32" s="1547"/>
      <c r="E32" s="1547"/>
      <c r="F32" s="1547"/>
      <c r="G32" s="1547"/>
      <c r="H32" s="1547"/>
      <c r="I32" s="1547"/>
      <c r="J32" s="1547"/>
      <c r="K32" s="1547"/>
      <c r="L32" s="1547"/>
      <c r="M32" s="1547"/>
      <c r="N32" s="1547"/>
      <c r="O32" s="1547"/>
      <c r="P32" s="1547"/>
      <c r="Q32" s="1547"/>
      <c r="R32" s="1547"/>
      <c r="S32" s="1547"/>
      <c r="T32" s="1547"/>
      <c r="U32" s="84"/>
      <c r="V32" s="1547"/>
      <c r="W32" s="1547"/>
    </row>
    <row r="33" spans="1:38" s="1633" customFormat="1" ht="15" customHeight="1">
      <c r="U33" s="85"/>
    </row>
    <row r="34" spans="1:38" s="1834" customFormat="1" ht="15" customHeight="1">
      <c r="A34" s="302"/>
      <c r="B34" s="302"/>
      <c r="C34" s="76"/>
      <c r="D34" s="1551"/>
      <c r="E34" s="1551"/>
      <c r="F34" s="1551"/>
      <c r="G34" s="1551"/>
      <c r="H34" s="1551"/>
      <c r="I34" s="1551"/>
      <c r="J34" s="1551"/>
      <c r="K34" s="1531" t="s">
        <v>56</v>
      </c>
      <c r="L34" s="1469" t="s">
        <v>43</v>
      </c>
      <c r="M34" s="619"/>
      <c r="N34" s="620"/>
      <c r="O34" s="447"/>
      <c r="P34" s="447"/>
      <c r="Q34" s="447"/>
      <c r="R34" s="447"/>
      <c r="S34" s="447"/>
      <c r="T34" s="447"/>
      <c r="U34" s="448"/>
      <c r="V34" s="447"/>
      <c r="W34" s="447"/>
      <c r="X34" s="445"/>
      <c r="Y34" s="445" t="s">
        <v>53</v>
      </c>
      <c r="Z34" s="445">
        <v>1705000</v>
      </c>
      <c r="AA34" s="445"/>
      <c r="AB34" s="445"/>
      <c r="AC34" s="445"/>
      <c r="AD34" s="445"/>
      <c r="AE34" s="445"/>
      <c r="AF34" s="445"/>
      <c r="AG34" s="445"/>
      <c r="AH34" s="445"/>
      <c r="AI34" s="445"/>
      <c r="AJ34" s="445"/>
      <c r="AK34" s="445"/>
      <c r="AL34" s="445"/>
    </row>
    <row r="35" spans="1:38" s="1633" customFormat="1" ht="15" customHeight="1">
      <c r="U35" s="85"/>
    </row>
    <row r="36" spans="1:38" s="1633" customFormat="1" ht="15" customHeight="1">
      <c r="U36" s="85"/>
    </row>
    <row r="37" spans="1:38" s="1832" customFormat="1" ht="11.25" customHeight="1">
      <c r="A37" s="1547" t="s">
        <v>1059</v>
      </c>
    </row>
    <row r="38" spans="1:38" ht="11.25" customHeight="1"/>
    <row r="39" spans="1:38" s="1669" customFormat="1" ht="22.5" customHeight="1">
      <c r="A39" s="1523"/>
      <c r="B39" s="327"/>
      <c r="C39" s="657"/>
      <c r="D39" s="314"/>
      <c r="E39" s="658"/>
      <c r="F39" s="1544"/>
      <c r="G39" s="1552"/>
      <c r="H39" s="344"/>
    </row>
    <row r="40" spans="1:38" ht="11.25" customHeight="1"/>
    <row r="41" spans="1:38" s="1832" customFormat="1" ht="11.25" customHeight="1">
      <c r="A41" s="1547" t="s">
        <v>1060</v>
      </c>
    </row>
    <row r="42" spans="1:38" ht="11.25" customHeight="1"/>
    <row r="43" spans="1:38" s="1669" customFormat="1" ht="22.5" customHeight="1">
      <c r="A43" s="327"/>
      <c r="B43" s="327"/>
      <c r="C43" s="327"/>
      <c r="D43" s="314"/>
      <c r="E43" s="658"/>
      <c r="F43" s="659"/>
      <c r="G43" s="1552"/>
      <c r="H43" s="344"/>
    </row>
    <row r="46" spans="1:38" s="1832" customFormat="1" ht="17.25" customHeight="1">
      <c r="A46" s="1547" t="s">
        <v>1061</v>
      </c>
    </row>
    <row r="48" spans="1:38" s="1683" customFormat="1" ht="18.75" customHeight="1">
      <c r="A48" s="11"/>
      <c r="B48" s="1553"/>
      <c r="C48" s="1553"/>
      <c r="D48" s="1554"/>
      <c r="E48" s="1541"/>
      <c r="F48" s="666">
        <v>13</v>
      </c>
      <c r="G48" s="665"/>
      <c r="H48" s="602"/>
      <c r="I48" s="600"/>
      <c r="J48" s="388" t="s">
        <v>16</v>
      </c>
      <c r="K48" s="1555" t="s">
        <v>1</v>
      </c>
      <c r="L48" s="11"/>
      <c r="M48" s="1406"/>
      <c r="N48" s="1406"/>
      <c r="O48" s="1406"/>
      <c r="P48" s="384" t="s">
        <v>318</v>
      </c>
      <c r="Q48" s="384" t="s">
        <v>319</v>
      </c>
      <c r="R48" s="385" t="s">
        <v>320</v>
      </c>
      <c r="S48" s="1406" t="s">
        <v>321</v>
      </c>
      <c r="T48" s="1406"/>
      <c r="U48" s="1406"/>
      <c r="V48" s="1406"/>
    </row>
    <row r="50" spans="1:45" s="1832" customFormat="1" ht="11.25" customHeight="1">
      <c r="A50" s="1547" t="s">
        <v>1062</v>
      </c>
    </row>
    <row r="52" spans="1:45" s="1664" customFormat="1" ht="14.25" customHeight="1">
      <c r="C52" s="1456"/>
      <c r="D52" s="1601"/>
      <c r="E52" s="1509" t="s">
        <v>1</v>
      </c>
      <c r="F52" s="1600"/>
      <c r="G52" s="654"/>
      <c r="H52" s="1510"/>
      <c r="I52" s="1510"/>
      <c r="J52" s="307"/>
      <c r="K52" s="1595"/>
      <c r="L52" s="306"/>
      <c r="M52" s="1595"/>
      <c r="N52" s="307"/>
      <c r="O52" s="1595"/>
      <c r="P52" s="307"/>
      <c r="Q52" s="1595"/>
      <c r="R52" s="307"/>
      <c r="S52" s="652"/>
      <c r="T52" s="1510"/>
      <c r="U52" s="307"/>
      <c r="V52" s="307"/>
      <c r="W52" s="1599"/>
      <c r="X52" s="1510"/>
      <c r="Y52" s="307"/>
      <c r="Z52" s="307"/>
      <c r="AA52" s="1599"/>
      <c r="AB52" s="1510"/>
      <c r="AC52" s="307"/>
      <c r="AD52" s="1599"/>
      <c r="AE52" s="11"/>
      <c r="AF52" s="11"/>
      <c r="AG52" s="11"/>
      <c r="AH52" s="11"/>
      <c r="AJ52" s="1406"/>
      <c r="AK52" s="1406"/>
      <c r="AL52" s="1406"/>
      <c r="AM52" s="1406"/>
      <c r="AN52" s="1406"/>
      <c r="AO52" s="1406"/>
      <c r="AP52" s="1396" t="s">
        <v>307</v>
      </c>
      <c r="AQ52" s="1396" t="s">
        <v>307</v>
      </c>
      <c r="AR52" s="1406"/>
      <c r="AS52" s="1406"/>
    </row>
    <row r="54" spans="1:45" s="1832" customFormat="1" ht="11.25" customHeight="1">
      <c r="A54" s="1547" t="s">
        <v>1063</v>
      </c>
    </row>
    <row r="56" spans="1:45" s="1824" customFormat="1" ht="15" customHeight="1">
      <c r="A56" s="51" t="s">
        <v>24</v>
      </c>
      <c r="B56" s="37" t="s">
        <v>1</v>
      </c>
      <c r="C56" s="1556"/>
      <c r="D56" s="40"/>
      <c r="E56" s="271"/>
      <c r="F56" s="271"/>
      <c r="G56" s="1535"/>
      <c r="H56" s="1555"/>
      <c r="I56" s="1536"/>
      <c r="K56" s="148"/>
      <c r="L56" s="149"/>
    </row>
    <row r="58" spans="1:45" s="1832" customFormat="1" ht="11.25" customHeight="1">
      <c r="A58" s="1547" t="s">
        <v>1064</v>
      </c>
    </row>
    <row r="60" spans="1:45" s="1664" customFormat="1" ht="14.25" customHeight="1">
      <c r="A60" s="225"/>
      <c r="B60" s="929"/>
      <c r="C60" s="261"/>
      <c r="D60" s="1542"/>
      <c r="E60" s="676"/>
      <c r="F60" s="1555"/>
      <c r="G60" s="11"/>
      <c r="I60" s="1396"/>
      <c r="J60" s="1396"/>
    </row>
    <row r="62" spans="1:45" s="1832" customFormat="1" ht="11.25" customHeight="1">
      <c r="A62" s="1547" t="s">
        <v>1065</v>
      </c>
    </row>
    <row r="64" spans="1:45" s="1664" customFormat="1" ht="27" customHeight="1">
      <c r="A64" s="934"/>
      <c r="B64" s="934"/>
      <c r="C64" s="934"/>
      <c r="D64" s="929"/>
      <c r="E64" s="1557"/>
      <c r="F64" s="2312"/>
      <c r="G64" s="2313"/>
      <c r="H64" s="2314" t="s">
        <v>16</v>
      </c>
      <c r="I64" s="2316"/>
      <c r="J64" s="2318"/>
      <c r="K64" s="2320"/>
      <c r="L64" s="2322"/>
      <c r="M64" s="2322"/>
      <c r="N64" s="2354"/>
      <c r="O64" s="2354"/>
      <c r="P64" s="2355" t="e">
        <f>DATEDIF(DATEVALUE(N64),DATEVALUE(O64),"y")&amp;"г. "&amp;DATEDIF(DATEVALUE(N64),DATEVALUE(O64),"ym")&amp;"мес. "&amp;DATEVALUE(O64)-DATE(YEAR(DATEVALUE(O64)),MONTH(DATEVALUE(O64)),1)&amp;"дн. "</f>
        <v>#VALUE!</v>
      </c>
      <c r="Q64" s="2323"/>
      <c r="R64" s="2323"/>
      <c r="S64" s="2323"/>
      <c r="T64" s="2318"/>
      <c r="U64" s="2323"/>
      <c r="V64" s="2323"/>
      <c r="W64" s="2323"/>
      <c r="X64" s="2318"/>
      <c r="Y64" s="2352" t="s">
        <v>16</v>
      </c>
      <c r="Z64" s="1540"/>
      <c r="AA64" s="1524">
        <v>1</v>
      </c>
      <c r="AB64" s="1018"/>
      <c r="AD64" s="1406" t="s">
        <v>1066</v>
      </c>
    </row>
    <row r="65" spans="1:58" s="1664" customFormat="1" ht="10.5" customHeight="1">
      <c r="A65" s="934"/>
      <c r="B65" s="934"/>
      <c r="C65" s="934"/>
      <c r="D65" s="929"/>
      <c r="E65" s="732"/>
      <c r="F65" s="2312"/>
      <c r="G65" s="2313"/>
      <c r="H65" s="2315"/>
      <c r="I65" s="2317"/>
      <c r="J65" s="2319"/>
      <c r="K65" s="2320"/>
      <c r="L65" s="2322"/>
      <c r="M65" s="2322"/>
      <c r="N65" s="2354"/>
      <c r="O65" s="2354"/>
      <c r="P65" s="2355"/>
      <c r="Q65" s="2323"/>
      <c r="R65" s="2323"/>
      <c r="S65" s="2323"/>
      <c r="T65" s="2319"/>
      <c r="U65" s="2323"/>
      <c r="V65" s="2323"/>
      <c r="W65" s="2323"/>
      <c r="X65" s="2319"/>
      <c r="Y65" s="2353"/>
      <c r="Z65" s="229"/>
      <c r="AA65" s="430"/>
      <c r="AB65" s="493" t="s">
        <v>1067</v>
      </c>
    </row>
    <row r="67" spans="1:58" s="1832" customFormat="1" ht="11.25" customHeight="1">
      <c r="A67" s="1547" t="s">
        <v>1068</v>
      </c>
    </row>
    <row r="69" spans="1:58" s="1664" customFormat="1" ht="27" customHeight="1">
      <c r="A69" s="934"/>
      <c r="B69" s="934"/>
      <c r="C69" s="934"/>
      <c r="D69" s="929"/>
      <c r="E69" s="1557"/>
      <c r="F69" s="1529"/>
      <c r="G69" s="1485"/>
      <c r="H69" s="1486"/>
      <c r="I69" s="1487"/>
      <c r="J69" s="1488"/>
      <c r="K69" s="1489"/>
      <c r="L69" s="1490"/>
      <c r="M69" s="1490"/>
      <c r="N69" s="1491"/>
      <c r="O69" s="1491"/>
      <c r="P69" s="1492"/>
      <c r="Q69" s="1493"/>
      <c r="R69" s="1493"/>
      <c r="S69" s="1493"/>
      <c r="T69" s="1488"/>
      <c r="U69" s="1493"/>
      <c r="V69" s="1493"/>
      <c r="W69" s="1493"/>
      <c r="X69" s="1488"/>
      <c r="Y69" s="1486"/>
      <c r="Z69" s="1540"/>
      <c r="AA69" s="1524">
        <v>1</v>
      </c>
      <c r="AB69" s="1018"/>
      <c r="AD69" s="1406" t="s">
        <v>1066</v>
      </c>
    </row>
    <row r="71" spans="1:58" s="1832" customFormat="1" ht="11.25" customHeight="1">
      <c r="A71" s="1547" t="s">
        <v>1069</v>
      </c>
    </row>
    <row r="72" spans="1:58" ht="17.25" customHeight="1"/>
    <row r="73" spans="1:58" s="1664" customFormat="1" ht="21" customHeight="1">
      <c r="A73" s="935"/>
      <c r="B73" s="934"/>
      <c r="C73" s="934"/>
      <c r="D73" s="929"/>
      <c r="E73" s="938"/>
      <c r="F73" s="895" t="e">
        <f>INDEX(IP_MAIN_LIST_NAME_IP,MATCH(A73,IP_MAIN_LIST_IP_ID,0))&amp;" ("&amp;INDEX(IP_MAIN_START_DATE,MATCH(A73,IP_MAIN_LIST_IP_ID,0))&amp;"-"&amp;INDEX(IP_MAIN_END_DATE,MATCH(A73,IP_MAIN_LIST_IP_ID,0))&amp;")"</f>
        <v>#N/A</v>
      </c>
      <c r="G73" s="896"/>
      <c r="H73" s="896"/>
      <c r="I73" s="955"/>
      <c r="J73" s="955"/>
      <c r="K73" s="956"/>
      <c r="L73" s="956"/>
      <c r="M73" s="956"/>
      <c r="N73" s="957"/>
      <c r="O73" s="957"/>
      <c r="P73" s="957"/>
      <c r="Q73" s="957"/>
      <c r="R73" s="957"/>
      <c r="S73" s="957"/>
      <c r="T73" s="957"/>
      <c r="U73" s="957"/>
      <c r="V73" s="957"/>
      <c r="W73" s="957"/>
      <c r="X73" s="957"/>
      <c r="Y73" s="957"/>
      <c r="Z73" s="957"/>
      <c r="AA73" s="957"/>
      <c r="AB73" s="957"/>
      <c r="AC73" s="957"/>
      <c r="AD73" s="957"/>
      <c r="AE73" s="958"/>
      <c r="AF73" s="956"/>
      <c r="AG73" s="956"/>
      <c r="AH73" s="956"/>
      <c r="AI73" s="956"/>
      <c r="AJ73" s="956"/>
      <c r="AK73" s="956"/>
      <c r="AL73" s="939"/>
      <c r="AM73" s="1553"/>
      <c r="AN73" s="1553"/>
      <c r="AO73" s="1553"/>
      <c r="AP73" s="1553"/>
      <c r="AQ73" s="1553"/>
      <c r="AR73" s="1553"/>
      <c r="AS73" s="1553"/>
      <c r="AT73" s="1553"/>
      <c r="AU73" s="1553"/>
      <c r="AV73" s="1553"/>
      <c r="AW73" s="1553"/>
      <c r="AX73" s="1553"/>
      <c r="AY73" s="1553"/>
      <c r="AZ73" s="1553"/>
      <c r="BA73" s="1553"/>
      <c r="BB73" s="1553"/>
      <c r="BC73" s="1553"/>
      <c r="BD73" s="1553"/>
      <c r="BE73" s="1553"/>
      <c r="BF73" s="1553"/>
    </row>
    <row r="74" spans="1:58" s="1664" customFormat="1" ht="11.25" customHeight="1">
      <c r="A74" s="934"/>
      <c r="B74" s="934"/>
      <c r="C74" s="934"/>
      <c r="D74" s="929"/>
      <c r="E74" s="938"/>
      <c r="F74" s="2358"/>
      <c r="G74" s="2254"/>
      <c r="H74" s="2254" t="s">
        <v>43</v>
      </c>
      <c r="I74" s="2362"/>
      <c r="J74" s="2302"/>
      <c r="K74" s="2363"/>
      <c r="L74" s="2356" t="s">
        <v>15</v>
      </c>
      <c r="M74" s="2212"/>
      <c r="N74" s="947"/>
      <c r="O74" s="946" t="s">
        <v>302</v>
      </c>
      <c r="P74" s="947"/>
      <c r="Q74" s="947"/>
      <c r="R74" s="947"/>
      <c r="S74" s="947"/>
      <c r="T74" s="947"/>
      <c r="U74" s="947"/>
      <c r="V74" s="947"/>
      <c r="W74" s="947"/>
      <c r="X74" s="947"/>
      <c r="Y74" s="947"/>
      <c r="Z74" s="947"/>
      <c r="AA74" s="947"/>
      <c r="AB74" s="947"/>
      <c r="AC74" s="947"/>
      <c r="AD74" s="947"/>
      <c r="AE74" s="947"/>
      <c r="AF74" s="2360"/>
      <c r="AG74" s="2356"/>
      <c r="AH74" s="2356"/>
      <c r="AI74" s="2360"/>
      <c r="AJ74" s="2356"/>
      <c r="AK74" s="2356"/>
      <c r="AL74" s="941"/>
      <c r="AM74" s="1553"/>
      <c r="AN74" s="1553"/>
      <c r="AO74" s="1553"/>
      <c r="AP74" s="1553"/>
      <c r="AQ74" s="1553"/>
      <c r="AR74" s="1553"/>
      <c r="AS74" s="1553"/>
      <c r="AT74" s="1553"/>
      <c r="AU74" s="1553"/>
      <c r="AV74" s="1553"/>
      <c r="AW74" s="1553"/>
      <c r="AX74" s="1553"/>
      <c r="AY74" s="1553"/>
      <c r="AZ74" s="1553"/>
      <c r="BA74" s="1553"/>
      <c r="BB74" s="1553"/>
      <c r="BC74" s="1553"/>
      <c r="BD74" s="1553"/>
      <c r="BE74" s="1553"/>
      <c r="BF74" s="1553"/>
    </row>
    <row r="75" spans="1:58" s="1664" customFormat="1" ht="11.25" customHeight="1">
      <c r="A75" s="934"/>
      <c r="B75" s="934"/>
      <c r="C75" s="934"/>
      <c r="D75" s="929"/>
      <c r="E75" s="938"/>
      <c r="F75" s="2358"/>
      <c r="G75" s="2254"/>
      <c r="H75" s="2254"/>
      <c r="I75" s="2362"/>
      <c r="J75" s="2302"/>
      <c r="K75" s="2363"/>
      <c r="L75" s="2356"/>
      <c r="M75" s="2212"/>
      <c r="N75" s="2364"/>
      <c r="O75" s="2331">
        <v>1</v>
      </c>
      <c r="P75" s="2327" t="s">
        <v>15</v>
      </c>
      <c r="Q75" s="2215" t="s">
        <v>1</v>
      </c>
      <c r="R75" s="2215" t="s">
        <v>1</v>
      </c>
      <c r="S75" s="2215" t="s">
        <v>1</v>
      </c>
      <c r="T75" s="2215" t="s">
        <v>1</v>
      </c>
      <c r="U75" s="2215" t="s">
        <v>1</v>
      </c>
      <c r="V75" s="2215" t="s">
        <v>1</v>
      </c>
      <c r="W75" s="2215" t="s">
        <v>1</v>
      </c>
      <c r="X75" s="2215" t="s">
        <v>1</v>
      </c>
      <c r="Y75" s="2215"/>
      <c r="Z75" s="944"/>
      <c r="AA75" s="945"/>
      <c r="AB75" s="945"/>
      <c r="AC75" s="949"/>
      <c r="AD75" s="949"/>
      <c r="AE75" s="950"/>
      <c r="AF75" s="2360"/>
      <c r="AG75" s="2356"/>
      <c r="AH75" s="2356"/>
      <c r="AI75" s="2360"/>
      <c r="AJ75" s="2356"/>
      <c r="AK75" s="2356"/>
      <c r="AL75" s="941"/>
      <c r="AM75" s="1553"/>
      <c r="AN75" s="1553"/>
      <c r="AO75" s="1553"/>
      <c r="AP75" s="1553"/>
      <c r="AQ75" s="1553"/>
      <c r="AR75" s="1553"/>
      <c r="AS75" s="1553"/>
      <c r="AT75" s="1553"/>
      <c r="AU75" s="1553"/>
      <c r="AV75" s="1553"/>
      <c r="AW75" s="1553"/>
      <c r="AX75" s="1553"/>
      <c r="AY75" s="1553"/>
      <c r="AZ75" s="1553"/>
      <c r="BA75" s="1553"/>
      <c r="BB75" s="1553"/>
      <c r="BC75" s="1553"/>
      <c r="BD75" s="1553"/>
      <c r="BE75" s="1553"/>
      <c r="BF75" s="1553"/>
    </row>
    <row r="76" spans="1:58" s="1664" customFormat="1" ht="11.25" customHeight="1">
      <c r="A76" s="934"/>
      <c r="B76" s="934"/>
      <c r="C76" s="934"/>
      <c r="D76" s="929"/>
      <c r="E76" s="938"/>
      <c r="F76" s="2358"/>
      <c r="G76" s="2254"/>
      <c r="H76" s="2254"/>
      <c r="I76" s="2362"/>
      <c r="J76" s="2302"/>
      <c r="K76" s="2363"/>
      <c r="L76" s="2356"/>
      <c r="M76" s="2212"/>
      <c r="N76" s="2364"/>
      <c r="O76" s="2331"/>
      <c r="P76" s="2328"/>
      <c r="Q76" s="2215"/>
      <c r="R76" s="2215"/>
      <c r="S76" s="2361"/>
      <c r="T76" s="2215"/>
      <c r="U76" s="2215"/>
      <c r="V76" s="2215"/>
      <c r="W76" s="2215"/>
      <c r="X76" s="2215"/>
      <c r="Y76" s="2215"/>
      <c r="Z76" s="1558"/>
      <c r="AA76" s="1526">
        <v>1</v>
      </c>
      <c r="AB76" s="948"/>
      <c r="AC76" s="937"/>
      <c r="AD76" s="948">
        <f>AB76</f>
        <v>0</v>
      </c>
      <c r="AE76" s="937"/>
      <c r="AF76" s="2360"/>
      <c r="AG76" s="2356"/>
      <c r="AH76" s="2356"/>
      <c r="AI76" s="2360"/>
      <c r="AJ76" s="2356"/>
      <c r="AK76" s="2356"/>
      <c r="AL76" s="941"/>
      <c r="AM76" s="1553"/>
      <c r="AN76" s="1553"/>
      <c r="AO76" s="1553"/>
      <c r="AP76" s="1553"/>
      <c r="AQ76" s="1553"/>
      <c r="AR76" s="1553"/>
      <c r="AS76" s="1553"/>
      <c r="AT76" s="1553"/>
      <c r="AU76" s="1553"/>
      <c r="AV76" s="1553"/>
      <c r="AW76" s="1553"/>
      <c r="AX76" s="1553"/>
      <c r="AY76" s="1553"/>
      <c r="AZ76" s="1553"/>
      <c r="BA76" s="1553"/>
      <c r="BB76" s="1553"/>
      <c r="BC76" s="1553"/>
      <c r="BD76" s="1553"/>
      <c r="BE76" s="1553"/>
      <c r="BF76" s="1553"/>
    </row>
    <row r="77" spans="1:58" s="1664" customFormat="1" ht="11.25" customHeight="1">
      <c r="A77" s="934"/>
      <c r="B77" s="934"/>
      <c r="C77" s="934"/>
      <c r="D77" s="929"/>
      <c r="E77" s="938"/>
      <c r="F77" s="2358"/>
      <c r="G77" s="2254"/>
      <c r="H77" s="2254"/>
      <c r="I77" s="2362"/>
      <c r="J77" s="2302"/>
      <c r="K77" s="2363"/>
      <c r="L77" s="2356"/>
      <c r="M77" s="2212"/>
      <c r="N77" s="2364"/>
      <c r="O77" s="2331"/>
      <c r="P77" s="2329"/>
      <c r="Q77" s="2215"/>
      <c r="R77" s="2215"/>
      <c r="S77" s="2361"/>
      <c r="T77" s="2215"/>
      <c r="U77" s="2215"/>
      <c r="V77" s="2215"/>
      <c r="W77" s="2215"/>
      <c r="X77" s="2215"/>
      <c r="Y77" s="2215"/>
      <c r="Z77" s="944"/>
      <c r="AA77" s="945"/>
      <c r="AB77" s="1017" t="s">
        <v>1070</v>
      </c>
      <c r="AC77" s="949"/>
      <c r="AD77" s="949"/>
      <c r="AE77" s="951"/>
      <c r="AF77" s="2360"/>
      <c r="AG77" s="2356"/>
      <c r="AH77" s="2356"/>
      <c r="AI77" s="2360"/>
      <c r="AJ77" s="2356"/>
      <c r="AK77" s="2356"/>
      <c r="AL77" s="941"/>
      <c r="AM77" s="1553"/>
      <c r="AN77" s="1553"/>
      <c r="AO77" s="1553"/>
      <c r="AP77" s="1553"/>
      <c r="AQ77" s="1553"/>
      <c r="AR77" s="1553"/>
      <c r="AS77" s="1553"/>
      <c r="AT77" s="1553"/>
      <c r="AU77" s="1553"/>
      <c r="AV77" s="1553"/>
      <c r="AW77" s="1553"/>
      <c r="AX77" s="1553"/>
      <c r="AY77" s="1553"/>
      <c r="AZ77" s="1553"/>
      <c r="BA77" s="1553"/>
      <c r="BB77" s="1553"/>
      <c r="BC77" s="1553"/>
      <c r="BD77" s="1553"/>
      <c r="BE77" s="1553"/>
      <c r="BF77" s="1553"/>
    </row>
    <row r="78" spans="1:58" s="1664" customFormat="1" ht="11.25" customHeight="1">
      <c r="A78" s="934"/>
      <c r="B78" s="934"/>
      <c r="C78" s="934"/>
      <c r="D78" s="929"/>
      <c r="E78" s="938"/>
      <c r="F78" s="2358"/>
      <c r="G78" s="2254"/>
      <c r="H78" s="2254"/>
      <c r="I78" s="2362"/>
      <c r="J78" s="2302"/>
      <c r="K78" s="2363"/>
      <c r="L78" s="2356"/>
      <c r="M78" s="2212"/>
      <c r="N78" s="945"/>
      <c r="O78" s="945"/>
      <c r="P78" s="936" t="s">
        <v>1071</v>
      </c>
      <c r="Q78" s="945"/>
      <c r="R78" s="945"/>
      <c r="S78" s="945"/>
      <c r="T78" s="945"/>
      <c r="U78" s="945"/>
      <c r="V78" s="945"/>
      <c r="W78" s="945"/>
      <c r="X78" s="945"/>
      <c r="Y78" s="945"/>
      <c r="Z78" s="945"/>
      <c r="AA78" s="945"/>
      <c r="AB78" s="945"/>
      <c r="AC78" s="945"/>
      <c r="AD78" s="945"/>
      <c r="AE78" s="952"/>
      <c r="AF78" s="2360"/>
      <c r="AG78" s="2356"/>
      <c r="AH78" s="2356"/>
      <c r="AI78" s="2360"/>
      <c r="AJ78" s="2356"/>
      <c r="AK78" s="2356"/>
      <c r="AL78" s="941"/>
      <c r="AM78" s="1553"/>
      <c r="AN78" s="1553"/>
      <c r="AO78" s="1553"/>
      <c r="AP78" s="1553"/>
      <c r="AQ78" s="1553"/>
      <c r="AR78" s="1553"/>
      <c r="AS78" s="1553"/>
      <c r="AT78" s="1553"/>
      <c r="AU78" s="1553"/>
      <c r="AV78" s="1553"/>
      <c r="AW78" s="1553"/>
      <c r="AX78" s="1553"/>
      <c r="AY78" s="1553"/>
      <c r="AZ78" s="1553"/>
      <c r="BA78" s="1553"/>
      <c r="BB78" s="1553"/>
      <c r="BC78" s="1553"/>
      <c r="BD78" s="1553"/>
      <c r="BE78" s="1553"/>
      <c r="BF78" s="1553"/>
    </row>
    <row r="79" spans="1:58" s="1664" customFormat="1" ht="12" customHeight="1">
      <c r="A79" s="934"/>
      <c r="B79" s="934"/>
      <c r="C79" s="934"/>
      <c r="D79" s="929"/>
      <c r="E79" s="938"/>
      <c r="F79" s="2359"/>
      <c r="G79" s="959"/>
      <c r="H79" s="959"/>
      <c r="I79" s="2357" t="s">
        <v>1072</v>
      </c>
      <c r="J79" s="2357"/>
      <c r="K79" s="2357"/>
      <c r="L79" s="942"/>
      <c r="M79" s="942"/>
      <c r="N79" s="943"/>
      <c r="O79" s="943"/>
      <c r="P79" s="943"/>
      <c r="Q79" s="943"/>
      <c r="R79" s="943"/>
      <c r="S79" s="943"/>
      <c r="T79" s="943"/>
      <c r="U79" s="943"/>
      <c r="V79" s="943"/>
      <c r="W79" s="943"/>
      <c r="X79" s="943"/>
      <c r="Y79" s="943"/>
      <c r="Z79" s="943"/>
      <c r="AA79" s="943"/>
      <c r="AB79" s="943"/>
      <c r="AC79" s="943"/>
      <c r="AD79" s="943"/>
      <c r="AE79" s="943"/>
      <c r="AF79" s="943"/>
      <c r="AG79" s="942"/>
      <c r="AH79" s="942"/>
      <c r="AI79" s="943"/>
      <c r="AJ79" s="942"/>
      <c r="AK79" s="953"/>
      <c r="AL79" s="941"/>
      <c r="AM79" s="1553"/>
      <c r="AN79" s="1553"/>
      <c r="AO79" s="1553"/>
      <c r="AP79" s="1553"/>
      <c r="AQ79" s="1553"/>
      <c r="AR79" s="1553"/>
      <c r="AS79" s="1553"/>
      <c r="AT79" s="1553"/>
      <c r="AU79" s="1553"/>
      <c r="AV79" s="1553"/>
      <c r="AW79" s="1553"/>
      <c r="AX79" s="1553"/>
      <c r="AY79" s="1553"/>
      <c r="AZ79" s="1553"/>
      <c r="BA79" s="1553"/>
      <c r="BB79" s="1553"/>
      <c r="BC79" s="1553"/>
      <c r="BD79" s="1553"/>
      <c r="BE79" s="1553"/>
      <c r="BF79" s="1553"/>
    </row>
    <row r="81" spans="1:58" s="1832" customFormat="1" ht="11.25" customHeight="1">
      <c r="A81" s="1547" t="s">
        <v>1073</v>
      </c>
    </row>
    <row r="83" spans="1:58" s="1664" customFormat="1" ht="11.25" customHeight="1">
      <c r="A83" s="934"/>
      <c r="B83" s="934"/>
      <c r="C83" s="934"/>
      <c r="D83" s="929"/>
      <c r="E83" s="938"/>
      <c r="F83" s="1559"/>
      <c r="G83" s="1560"/>
      <c r="H83" s="1560"/>
      <c r="I83" s="1500"/>
      <c r="J83" s="1500"/>
      <c r="K83" s="1561"/>
      <c r="L83" s="1500"/>
      <c r="M83" s="1560"/>
      <c r="N83" s="2330"/>
      <c r="O83" s="2331">
        <v>1</v>
      </c>
      <c r="P83" s="2327" t="s">
        <v>15</v>
      </c>
      <c r="Q83" s="2215" t="s">
        <v>1</v>
      </c>
      <c r="R83" s="2215" t="s">
        <v>1</v>
      </c>
      <c r="S83" s="2215" t="s">
        <v>1</v>
      </c>
      <c r="T83" s="2215" t="s">
        <v>1</v>
      </c>
      <c r="U83" s="2215" t="s">
        <v>1</v>
      </c>
      <c r="V83" s="2215" t="s">
        <v>1</v>
      </c>
      <c r="W83" s="2215" t="s">
        <v>1</v>
      </c>
      <c r="X83" s="2215" t="s">
        <v>1</v>
      </c>
      <c r="Y83" s="2215"/>
      <c r="Z83" s="944"/>
      <c r="AA83" s="945"/>
      <c r="AB83" s="945"/>
      <c r="AC83" s="949"/>
      <c r="AD83" s="949"/>
      <c r="AE83" s="949"/>
      <c r="AF83" s="1562"/>
      <c r="AG83" s="1497"/>
      <c r="AH83" s="1497"/>
      <c r="AI83" s="1562"/>
      <c r="AJ83" s="1497"/>
      <c r="AK83" s="1497"/>
      <c r="AL83" s="941"/>
      <c r="AM83" s="1553"/>
      <c r="AN83" s="1553"/>
      <c r="AO83" s="1553"/>
      <c r="AP83" s="1553"/>
      <c r="AQ83" s="1553"/>
      <c r="AR83" s="1553"/>
      <c r="AS83" s="1553"/>
      <c r="AT83" s="1553"/>
      <c r="AU83" s="1553"/>
      <c r="AV83" s="1553"/>
      <c r="AW83" s="1553"/>
      <c r="AX83" s="1553"/>
      <c r="AY83" s="1553"/>
      <c r="AZ83" s="1553"/>
      <c r="BA83" s="1553"/>
      <c r="BB83" s="1553"/>
      <c r="BC83" s="1553"/>
      <c r="BD83" s="1553"/>
      <c r="BE83" s="1553"/>
      <c r="BF83" s="1553"/>
    </row>
    <row r="84" spans="1:58" s="1664" customFormat="1" ht="11.25" customHeight="1">
      <c r="A84" s="934"/>
      <c r="B84" s="934"/>
      <c r="C84" s="934"/>
      <c r="D84" s="929"/>
      <c r="E84" s="938"/>
      <c r="F84" s="1559"/>
      <c r="G84" s="1560"/>
      <c r="H84" s="1560"/>
      <c r="I84" s="1501"/>
      <c r="J84" s="1501"/>
      <c r="K84" s="1561"/>
      <c r="L84" s="1501"/>
      <c r="M84" s="1560"/>
      <c r="N84" s="2330"/>
      <c r="O84" s="2331"/>
      <c r="P84" s="2328"/>
      <c r="Q84" s="2215"/>
      <c r="R84" s="2215"/>
      <c r="S84" s="2361"/>
      <c r="T84" s="2215"/>
      <c r="U84" s="2215"/>
      <c r="V84" s="2215"/>
      <c r="W84" s="2215"/>
      <c r="X84" s="2215"/>
      <c r="Y84" s="2215"/>
      <c r="Z84" s="1558"/>
      <c r="AA84" s="1526">
        <v>1</v>
      </c>
      <c r="AB84" s="948"/>
      <c r="AC84" s="937"/>
      <c r="AD84" s="948">
        <f>AB84</f>
        <v>0</v>
      </c>
      <c r="AE84" s="551"/>
      <c r="AF84" s="1561"/>
      <c r="AG84" s="1497"/>
      <c r="AH84" s="1497"/>
      <c r="AI84" s="1561"/>
      <c r="AJ84" s="1497"/>
      <c r="AK84" s="1497"/>
      <c r="AL84" s="941"/>
      <c r="AM84" s="1553"/>
      <c r="AN84" s="1553"/>
      <c r="AO84" s="1553"/>
      <c r="AP84" s="1553"/>
      <c r="AQ84" s="1553"/>
      <c r="AR84" s="1553"/>
      <c r="AS84" s="1553"/>
      <c r="AT84" s="1553"/>
      <c r="AU84" s="1553"/>
      <c r="AV84" s="1553"/>
      <c r="AW84" s="1553"/>
      <c r="AX84" s="1553"/>
      <c r="AY84" s="1553"/>
      <c r="AZ84" s="1553"/>
      <c r="BA84" s="1553"/>
      <c r="BB84" s="1553"/>
      <c r="BC84" s="1553"/>
      <c r="BD84" s="1553"/>
      <c r="BE84" s="1553"/>
      <c r="BF84" s="1553"/>
    </row>
    <row r="85" spans="1:58" s="1664" customFormat="1" ht="11.25" customHeight="1">
      <c r="A85" s="934"/>
      <c r="B85" s="934"/>
      <c r="C85" s="934"/>
      <c r="D85" s="929"/>
      <c r="E85" s="938"/>
      <c r="F85" s="1559"/>
      <c r="G85" s="1560"/>
      <c r="H85" s="1560"/>
      <c r="I85" s="1502"/>
      <c r="J85" s="1502"/>
      <c r="K85" s="1561"/>
      <c r="L85" s="1502"/>
      <c r="M85" s="1560"/>
      <c r="N85" s="2330"/>
      <c r="O85" s="2331"/>
      <c r="P85" s="2329"/>
      <c r="Q85" s="2215"/>
      <c r="R85" s="2215"/>
      <c r="S85" s="2361"/>
      <c r="T85" s="2215"/>
      <c r="U85" s="2215"/>
      <c r="V85" s="2215"/>
      <c r="W85" s="2215"/>
      <c r="X85" s="2215"/>
      <c r="Y85" s="2215"/>
      <c r="Z85" s="944"/>
      <c r="AA85" s="945"/>
      <c r="AB85" s="1017" t="s">
        <v>1070</v>
      </c>
      <c r="AC85" s="949"/>
      <c r="AD85" s="949"/>
      <c r="AE85" s="949"/>
      <c r="AF85" s="1563"/>
      <c r="AG85" s="1497"/>
      <c r="AH85" s="1497"/>
      <c r="AI85" s="1563"/>
      <c r="AJ85" s="1497"/>
      <c r="AK85" s="1497"/>
      <c r="AL85" s="941"/>
      <c r="AM85" s="1553"/>
      <c r="AN85" s="1553"/>
      <c r="AO85" s="1553"/>
      <c r="AP85" s="1553"/>
      <c r="AQ85" s="1553"/>
      <c r="AR85" s="1553"/>
      <c r="AS85" s="1553"/>
      <c r="AT85" s="1553"/>
      <c r="AU85" s="1553"/>
      <c r="AV85" s="1553"/>
      <c r="AW85" s="1553"/>
      <c r="AX85" s="1553"/>
      <c r="AY85" s="1553"/>
      <c r="AZ85" s="1553"/>
      <c r="BA85" s="1553"/>
      <c r="BB85" s="1553"/>
      <c r="BC85" s="1553"/>
      <c r="BD85" s="1553"/>
      <c r="BE85" s="1553"/>
      <c r="BF85" s="1553"/>
    </row>
    <row r="87" spans="1:58" s="1832" customFormat="1" ht="11.25" customHeight="1">
      <c r="A87" s="1547" t="s">
        <v>1074</v>
      </c>
    </row>
    <row r="89" spans="1:58" s="1664" customFormat="1" ht="11.25" customHeight="1">
      <c r="A89" s="934"/>
      <c r="B89" s="934"/>
      <c r="C89" s="934"/>
      <c r="D89" s="929"/>
      <c r="E89" s="938"/>
      <c r="F89" s="1560"/>
      <c r="G89" s="1560"/>
      <c r="H89" s="1560"/>
      <c r="I89" s="1560"/>
      <c r="J89" s="1560"/>
      <c r="K89" s="1560"/>
      <c r="L89" s="1560"/>
      <c r="M89" s="1560"/>
      <c r="N89" s="1560"/>
      <c r="O89" s="1560"/>
      <c r="P89" s="1560"/>
      <c r="Q89" s="1560"/>
      <c r="R89" s="1560"/>
      <c r="S89" s="1560"/>
      <c r="T89" s="1560"/>
      <c r="U89" s="1560"/>
      <c r="V89" s="1560"/>
      <c r="W89" s="1560"/>
      <c r="X89" s="1560"/>
      <c r="Y89" s="1560"/>
      <c r="Z89" s="1564"/>
      <c r="AA89" s="1546">
        <v>1</v>
      </c>
      <c r="AB89" s="948"/>
      <c r="AC89" s="937"/>
      <c r="AD89" s="948">
        <f>AB89</f>
        <v>0</v>
      </c>
      <c r="AE89" s="937"/>
      <c r="AF89" s="1561"/>
      <c r="AG89" s="1497"/>
      <c r="AH89" s="1497"/>
      <c r="AI89" s="1561"/>
      <c r="AJ89" s="1497"/>
      <c r="AK89" s="1497"/>
      <c r="AL89" s="941"/>
      <c r="AM89" s="1553"/>
      <c r="AN89" s="1553"/>
      <c r="AO89" s="1553"/>
      <c r="AP89" s="1553"/>
      <c r="AQ89" s="1553"/>
      <c r="AR89" s="1553"/>
      <c r="AS89" s="1553"/>
      <c r="AT89" s="1553"/>
      <c r="AU89" s="1553"/>
      <c r="AV89" s="1553"/>
      <c r="AW89" s="1553"/>
      <c r="AX89" s="1553"/>
      <c r="AY89" s="1553"/>
      <c r="AZ89" s="1553"/>
      <c r="BA89" s="1553"/>
      <c r="BB89" s="1553"/>
      <c r="BC89" s="1553"/>
      <c r="BD89" s="1553"/>
      <c r="BE89" s="1553"/>
      <c r="BF89" s="1553"/>
    </row>
    <row r="91" spans="1:58" s="1832" customFormat="1" ht="11.25" customHeight="1">
      <c r="A91" s="1547" t="s">
        <v>1075</v>
      </c>
    </row>
    <row r="93" spans="1:58" s="1664" customFormat="1" ht="11.25" customHeight="1">
      <c r="A93" s="934"/>
      <c r="B93" s="934"/>
      <c r="C93" s="934"/>
      <c r="D93" s="929"/>
      <c r="E93" s="938"/>
      <c r="F93" s="1559"/>
      <c r="G93" s="1560"/>
      <c r="H93" s="2254" t="s">
        <v>43</v>
      </c>
      <c r="I93" s="2362"/>
      <c r="J93" s="2302"/>
      <c r="K93" s="2363"/>
      <c r="L93" s="2356" t="s">
        <v>15</v>
      </c>
      <c r="M93" s="2212"/>
      <c r="N93" s="947"/>
      <c r="O93" s="946" t="s">
        <v>302</v>
      </c>
      <c r="P93" s="947"/>
      <c r="Q93" s="947"/>
      <c r="R93" s="947"/>
      <c r="S93" s="947"/>
      <c r="T93" s="947"/>
      <c r="U93" s="947"/>
      <c r="V93" s="947"/>
      <c r="W93" s="947"/>
      <c r="X93" s="947"/>
      <c r="Y93" s="947"/>
      <c r="Z93" s="947"/>
      <c r="AA93" s="947"/>
      <c r="AB93" s="947"/>
      <c r="AC93" s="947"/>
      <c r="AD93" s="947"/>
      <c r="AE93" s="947"/>
      <c r="AF93" s="2360"/>
      <c r="AG93" s="2356"/>
      <c r="AH93" s="2356"/>
      <c r="AI93" s="2360"/>
      <c r="AJ93" s="2356"/>
      <c r="AK93" s="2356"/>
      <c r="AL93" s="941"/>
      <c r="AM93" s="1553"/>
      <c r="AN93" s="1553"/>
      <c r="AO93" s="1553"/>
      <c r="AP93" s="1553"/>
      <c r="AQ93" s="1553"/>
      <c r="AR93" s="1553"/>
      <c r="AS93" s="1553"/>
      <c r="AT93" s="1553"/>
      <c r="AU93" s="1553"/>
      <c r="AV93" s="1553"/>
      <c r="AW93" s="1553"/>
      <c r="AX93" s="1553"/>
      <c r="AY93" s="1553"/>
      <c r="AZ93" s="1553"/>
      <c r="BA93" s="1553"/>
      <c r="BB93" s="1553"/>
      <c r="BC93" s="1553"/>
      <c r="BD93" s="1553"/>
      <c r="BE93" s="1553"/>
      <c r="BF93" s="1553"/>
    </row>
    <row r="94" spans="1:58" s="1664" customFormat="1" ht="11.25" customHeight="1">
      <c r="A94" s="934"/>
      <c r="B94" s="934"/>
      <c r="C94" s="934"/>
      <c r="D94" s="929"/>
      <c r="E94" s="938"/>
      <c r="F94" s="1559"/>
      <c r="G94" s="1560"/>
      <c r="H94" s="2254"/>
      <c r="I94" s="2362"/>
      <c r="J94" s="2302"/>
      <c r="K94" s="2363"/>
      <c r="L94" s="2356"/>
      <c r="M94" s="2212"/>
      <c r="N94" s="2364"/>
      <c r="O94" s="2331">
        <v>1</v>
      </c>
      <c r="P94" s="2327" t="s">
        <v>15</v>
      </c>
      <c r="Q94" s="2215" t="s">
        <v>1</v>
      </c>
      <c r="R94" s="2215" t="s">
        <v>1</v>
      </c>
      <c r="S94" s="2215" t="s">
        <v>1</v>
      </c>
      <c r="T94" s="2215" t="s">
        <v>1</v>
      </c>
      <c r="U94" s="2215" t="s">
        <v>1</v>
      </c>
      <c r="V94" s="2215" t="s">
        <v>1</v>
      </c>
      <c r="W94" s="2215" t="s">
        <v>1</v>
      </c>
      <c r="X94" s="2215" t="s">
        <v>1</v>
      </c>
      <c r="Y94" s="2215"/>
      <c r="Z94" s="944"/>
      <c r="AA94" s="945"/>
      <c r="AB94" s="945"/>
      <c r="AC94" s="949"/>
      <c r="AD94" s="949"/>
      <c r="AE94" s="950"/>
      <c r="AF94" s="2360"/>
      <c r="AG94" s="2356"/>
      <c r="AH94" s="2356"/>
      <c r="AI94" s="2360"/>
      <c r="AJ94" s="2356"/>
      <c r="AK94" s="2356"/>
      <c r="AL94" s="941"/>
      <c r="AM94" s="1553"/>
      <c r="AN94" s="1553"/>
      <c r="AO94" s="1553"/>
      <c r="AP94" s="1553"/>
      <c r="AQ94" s="1553"/>
      <c r="AR94" s="1553"/>
      <c r="AS94" s="1553"/>
      <c r="AT94" s="1553"/>
      <c r="AU94" s="1553"/>
      <c r="AV94" s="1553"/>
      <c r="AW94" s="1553"/>
      <c r="AX94" s="1553"/>
      <c r="AY94" s="1553"/>
      <c r="AZ94" s="1553"/>
      <c r="BA94" s="1553"/>
      <c r="BB94" s="1553"/>
      <c r="BC94" s="1553"/>
      <c r="BD94" s="1553"/>
      <c r="BE94" s="1553"/>
      <c r="BF94" s="1553"/>
    </row>
    <row r="95" spans="1:58" s="1664" customFormat="1" ht="11.25" customHeight="1">
      <c r="A95" s="934"/>
      <c r="B95" s="934"/>
      <c r="C95" s="934"/>
      <c r="D95" s="929"/>
      <c r="E95" s="938"/>
      <c r="F95" s="1559"/>
      <c r="G95" s="1560"/>
      <c r="H95" s="2254"/>
      <c r="I95" s="2362"/>
      <c r="J95" s="2302"/>
      <c r="K95" s="2363"/>
      <c r="L95" s="2356"/>
      <c r="M95" s="2212"/>
      <c r="N95" s="2364"/>
      <c r="O95" s="2331"/>
      <c r="P95" s="2328"/>
      <c r="Q95" s="2215"/>
      <c r="R95" s="2215"/>
      <c r="S95" s="2361"/>
      <c r="T95" s="2215"/>
      <c r="U95" s="2215"/>
      <c r="V95" s="2215"/>
      <c r="W95" s="2215"/>
      <c r="X95" s="2215"/>
      <c r="Y95" s="2215"/>
      <c r="Z95" s="1558"/>
      <c r="AA95" s="1526">
        <v>1</v>
      </c>
      <c r="AB95" s="948"/>
      <c r="AC95" s="937"/>
      <c r="AD95" s="948">
        <f>AB95</f>
        <v>0</v>
      </c>
      <c r="AE95" s="937"/>
      <c r="AF95" s="2360"/>
      <c r="AG95" s="2356"/>
      <c r="AH95" s="2356"/>
      <c r="AI95" s="2360"/>
      <c r="AJ95" s="2356"/>
      <c r="AK95" s="2356"/>
      <c r="AL95" s="941"/>
      <c r="AM95" s="1553"/>
      <c r="AN95" s="1553"/>
      <c r="AO95" s="1553"/>
      <c r="AP95" s="1553"/>
      <c r="AQ95" s="1553"/>
      <c r="AR95" s="1553"/>
      <c r="AS95" s="1553"/>
      <c r="AT95" s="1553"/>
      <c r="AU95" s="1553"/>
      <c r="AV95" s="1553"/>
      <c r="AW95" s="1553"/>
      <c r="AX95" s="1553"/>
      <c r="AY95" s="1553"/>
      <c r="AZ95" s="1553"/>
      <c r="BA95" s="1553"/>
      <c r="BB95" s="1553"/>
      <c r="BC95" s="1553"/>
      <c r="BD95" s="1553"/>
      <c r="BE95" s="1553"/>
      <c r="BF95" s="1553"/>
    </row>
    <row r="96" spans="1:58" s="1664" customFormat="1" ht="11.25" customHeight="1">
      <c r="A96" s="934"/>
      <c r="B96" s="934"/>
      <c r="C96" s="934"/>
      <c r="D96" s="929"/>
      <c r="E96" s="938"/>
      <c r="F96" s="1559"/>
      <c r="G96" s="1560"/>
      <c r="H96" s="2254"/>
      <c r="I96" s="2362"/>
      <c r="J96" s="2302"/>
      <c r="K96" s="2363"/>
      <c r="L96" s="2356"/>
      <c r="M96" s="2212"/>
      <c r="N96" s="2364"/>
      <c r="O96" s="2331"/>
      <c r="P96" s="2329"/>
      <c r="Q96" s="2215"/>
      <c r="R96" s="2215"/>
      <c r="S96" s="2361"/>
      <c r="T96" s="2215"/>
      <c r="U96" s="2215"/>
      <c r="V96" s="2215"/>
      <c r="W96" s="2215"/>
      <c r="X96" s="2215"/>
      <c r="Y96" s="2215"/>
      <c r="Z96" s="944"/>
      <c r="AA96" s="945"/>
      <c r="AB96" s="1017" t="s">
        <v>1070</v>
      </c>
      <c r="AC96" s="949"/>
      <c r="AD96" s="949"/>
      <c r="AE96" s="951"/>
      <c r="AF96" s="2360"/>
      <c r="AG96" s="2356"/>
      <c r="AH96" s="2356"/>
      <c r="AI96" s="2360"/>
      <c r="AJ96" s="2356"/>
      <c r="AK96" s="2356"/>
      <c r="AL96" s="941"/>
      <c r="AM96" s="1553"/>
      <c r="AN96" s="1553"/>
      <c r="AO96" s="1553"/>
      <c r="AP96" s="1553"/>
      <c r="AQ96" s="1553"/>
      <c r="AR96" s="1553"/>
      <c r="AS96" s="1553"/>
      <c r="AT96" s="1553"/>
      <c r="AU96" s="1553"/>
      <c r="AV96" s="1553"/>
      <c r="AW96" s="1553"/>
      <c r="AX96" s="1553"/>
      <c r="AY96" s="1553"/>
      <c r="AZ96" s="1553"/>
      <c r="BA96" s="1553"/>
      <c r="BB96" s="1553"/>
      <c r="BC96" s="1553"/>
      <c r="BD96" s="1553"/>
      <c r="BE96" s="1553"/>
      <c r="BF96" s="1553"/>
    </row>
    <row r="97" spans="1:184" s="1664" customFormat="1" ht="11.25" customHeight="1">
      <c r="A97" s="934"/>
      <c r="B97" s="934"/>
      <c r="C97" s="934"/>
      <c r="D97" s="929"/>
      <c r="E97" s="938"/>
      <c r="F97" s="1559"/>
      <c r="G97" s="1560"/>
      <c r="H97" s="2254"/>
      <c r="I97" s="2362"/>
      <c r="J97" s="2302"/>
      <c r="K97" s="2363"/>
      <c r="L97" s="2356"/>
      <c r="M97" s="2212"/>
      <c r="N97" s="945"/>
      <c r="O97" s="945"/>
      <c r="P97" s="936" t="s">
        <v>1071</v>
      </c>
      <c r="Q97" s="945"/>
      <c r="R97" s="945"/>
      <c r="S97" s="945"/>
      <c r="T97" s="945"/>
      <c r="U97" s="945"/>
      <c r="V97" s="945"/>
      <c r="W97" s="945"/>
      <c r="X97" s="945"/>
      <c r="Y97" s="945"/>
      <c r="Z97" s="945"/>
      <c r="AA97" s="945"/>
      <c r="AB97" s="945"/>
      <c r="AC97" s="945"/>
      <c r="AD97" s="945"/>
      <c r="AE97" s="952"/>
      <c r="AF97" s="2360"/>
      <c r="AG97" s="2356"/>
      <c r="AH97" s="2356"/>
      <c r="AI97" s="2360"/>
      <c r="AJ97" s="2356"/>
      <c r="AK97" s="2356"/>
      <c r="AL97" s="941"/>
      <c r="AM97" s="1553"/>
      <c r="AN97" s="1553"/>
      <c r="AO97" s="1553"/>
      <c r="AP97" s="1553"/>
      <c r="AQ97" s="1553"/>
      <c r="AR97" s="1553"/>
      <c r="AS97" s="1553"/>
      <c r="AT97" s="1553"/>
      <c r="AU97" s="1553"/>
      <c r="AV97" s="1553"/>
      <c r="AW97" s="1553"/>
      <c r="AX97" s="1553"/>
      <c r="AY97" s="1553"/>
      <c r="AZ97" s="1553"/>
      <c r="BA97" s="1553"/>
      <c r="BB97" s="1553"/>
      <c r="BC97" s="1553"/>
      <c r="BD97" s="1553"/>
      <c r="BE97" s="1553"/>
      <c r="BF97" s="1553"/>
    </row>
    <row r="99" spans="1:184" s="1832" customFormat="1" ht="11.25" customHeight="1">
      <c r="A99" s="1547" t="s">
        <v>1076</v>
      </c>
    </row>
    <row r="100" spans="1:184" ht="17.25" customHeight="1"/>
    <row r="101" spans="1:184" s="1796" customFormat="1" ht="21" customHeight="1">
      <c r="A101" s="935"/>
      <c r="B101" s="725"/>
      <c r="D101" s="712"/>
      <c r="E101" s="724" t="s">
        <v>1</v>
      </c>
      <c r="F101" s="894" t="e">
        <f>INDEX(IP_MAIN_LIST_NAME_IP,MATCH(A101,IP_MAIN_LIST_IP_ID,0))&amp;" ("&amp;INDEX(IP_MAIN_START_DATE,MATCH(A101,IP_MAIN_LIST_IP_ID,0))&amp;"-"&amp;INDEX(IP_MAIN_END_DATE,MATCH(A101,IP_MAIN_LIST_IP_ID,0))&amp;")"</f>
        <v>#N/A</v>
      </c>
      <c r="G101" s="972"/>
      <c r="H101" s="973"/>
      <c r="I101" s="973"/>
      <c r="J101" s="973"/>
      <c r="K101" s="973"/>
      <c r="L101" s="973"/>
      <c r="M101" s="973"/>
      <c r="N101" s="973"/>
      <c r="O101" s="972"/>
      <c r="P101" s="972"/>
      <c r="Q101" s="972"/>
      <c r="R101" s="972"/>
      <c r="S101" s="972"/>
      <c r="T101" s="972"/>
      <c r="U101" s="974"/>
      <c r="V101" s="974"/>
      <c r="W101" s="974"/>
      <c r="X101" s="974"/>
      <c r="Y101" s="974"/>
      <c r="Z101" s="974"/>
      <c r="AA101" s="974"/>
      <c r="AB101" s="972"/>
      <c r="AC101" s="973"/>
      <c r="AD101" s="973"/>
      <c r="AE101" s="973"/>
      <c r="AF101" s="973"/>
      <c r="AG101" s="973"/>
      <c r="AH101" s="973"/>
      <c r="AI101" s="973"/>
      <c r="AJ101" s="973"/>
      <c r="AK101" s="973"/>
      <c r="AL101" s="973"/>
      <c r="AM101" s="973"/>
      <c r="AN101" s="973"/>
      <c r="AO101" s="973"/>
      <c r="AP101" s="973"/>
      <c r="AQ101" s="973"/>
      <c r="AR101" s="973"/>
      <c r="AS101" s="973"/>
      <c r="AT101" s="973"/>
      <c r="AU101" s="973"/>
      <c r="AV101" s="973"/>
      <c r="AW101" s="973"/>
      <c r="AX101" s="973"/>
      <c r="AY101" s="973"/>
      <c r="AZ101" s="973"/>
      <c r="BA101" s="973"/>
      <c r="BB101" s="973"/>
      <c r="BC101" s="973"/>
      <c r="BD101" s="973"/>
      <c r="BE101" s="973"/>
      <c r="BF101" s="973"/>
      <c r="BG101" s="973"/>
      <c r="BH101" s="973"/>
      <c r="BI101" s="973"/>
      <c r="BJ101" s="973"/>
      <c r="BK101" s="973"/>
      <c r="BL101" s="973"/>
      <c r="BM101" s="973"/>
      <c r="BN101" s="973"/>
      <c r="BO101" s="973"/>
      <c r="BP101" s="973"/>
      <c r="BQ101" s="973"/>
      <c r="BR101" s="973"/>
      <c r="BS101" s="973"/>
      <c r="BT101" s="973"/>
      <c r="BU101" s="973"/>
      <c r="BV101" s="973"/>
      <c r="BW101" s="973"/>
      <c r="BX101" s="973"/>
      <c r="BY101" s="973"/>
      <c r="BZ101" s="973"/>
      <c r="CA101" s="973"/>
      <c r="CB101" s="973"/>
      <c r="CC101" s="973"/>
      <c r="CD101" s="973"/>
      <c r="CE101" s="973"/>
      <c r="CF101" s="973"/>
      <c r="CG101" s="973"/>
      <c r="CH101" s="973"/>
      <c r="CI101" s="973"/>
      <c r="CJ101" s="973"/>
      <c r="CK101" s="973"/>
      <c r="CL101" s="975"/>
      <c r="CM101" s="975"/>
      <c r="CN101" s="975"/>
      <c r="CO101" s="975"/>
      <c r="CP101" s="975"/>
      <c r="CQ101" s="975"/>
      <c r="CR101" s="975"/>
      <c r="CS101" s="975"/>
      <c r="CT101" s="975"/>
      <c r="CU101" s="975"/>
      <c r="CV101" s="975"/>
      <c r="CW101" s="975"/>
      <c r="CX101" s="975"/>
      <c r="CY101" s="975"/>
      <c r="CZ101" s="975"/>
      <c r="DA101" s="975"/>
      <c r="DB101" s="975"/>
      <c r="DC101" s="975"/>
      <c r="DD101" s="975"/>
      <c r="DE101" s="975"/>
      <c r="DF101" s="975"/>
      <c r="DG101" s="975"/>
      <c r="DH101" s="975"/>
      <c r="DI101" s="975"/>
      <c r="DJ101" s="975"/>
      <c r="DK101" s="975"/>
      <c r="DL101" s="975"/>
      <c r="DM101" s="975"/>
      <c r="DN101" s="975"/>
      <c r="DO101" s="975"/>
      <c r="DP101" s="975"/>
      <c r="DQ101" s="975"/>
      <c r="DR101" s="975"/>
      <c r="DS101" s="975"/>
      <c r="DT101" s="975"/>
      <c r="DU101" s="975"/>
      <c r="DV101" s="975"/>
      <c r="DW101" s="975"/>
      <c r="DX101" s="975"/>
      <c r="DY101" s="975"/>
      <c r="DZ101" s="975"/>
      <c r="EA101" s="975"/>
      <c r="EB101" s="975"/>
      <c r="EC101" s="975"/>
      <c r="ED101" s="975"/>
      <c r="EE101" s="975"/>
      <c r="EF101" s="975"/>
      <c r="EG101" s="975"/>
      <c r="EH101" s="975"/>
      <c r="EI101" s="975"/>
      <c r="EJ101" s="975"/>
      <c r="EK101" s="975"/>
      <c r="EL101" s="975"/>
      <c r="EM101" s="975"/>
      <c r="EN101" s="975"/>
      <c r="EO101" s="975"/>
      <c r="EP101" s="975"/>
      <c r="EQ101" s="975"/>
      <c r="ER101" s="975"/>
      <c r="ES101" s="975"/>
      <c r="ET101" s="975"/>
      <c r="EU101" s="975"/>
      <c r="EV101" s="975"/>
      <c r="EW101" s="975"/>
      <c r="EX101" s="975"/>
      <c r="EY101" s="975"/>
      <c r="EZ101" s="975"/>
      <c r="FA101" s="975"/>
      <c r="FB101" s="975"/>
      <c r="FC101" s="975"/>
      <c r="FD101" s="975"/>
      <c r="FE101" s="975"/>
      <c r="FF101" s="975"/>
      <c r="FG101" s="975"/>
      <c r="FH101" s="975"/>
      <c r="FI101" s="975"/>
      <c r="FJ101" s="975"/>
      <c r="FK101" s="975"/>
      <c r="FL101" s="975"/>
      <c r="FM101" s="975"/>
      <c r="FN101" s="975"/>
      <c r="FO101" s="975"/>
      <c r="FP101" s="975"/>
      <c r="FQ101" s="975"/>
      <c r="FR101" s="975"/>
      <c r="FS101" s="975"/>
      <c r="FT101" s="975"/>
      <c r="FU101" s="975"/>
      <c r="FV101" s="976"/>
      <c r="FW101" s="970"/>
      <c r="FX101" s="971"/>
    </row>
    <row r="102" spans="1:184" s="1796" customFormat="1" ht="24.75" customHeight="1">
      <c r="B102" s="711"/>
      <c r="C102" s="712"/>
      <c r="D102" s="712"/>
      <c r="E102" s="1565"/>
      <c r="F102" s="977">
        <v>1</v>
      </c>
      <c r="G102" s="978"/>
      <c r="H102" s="979"/>
      <c r="I102" s="987"/>
      <c r="J102" s="980"/>
      <c r="K102" s="980"/>
      <c r="L102" s="980"/>
      <c r="M102" s="980"/>
      <c r="N102" s="980"/>
      <c r="O102" s="981"/>
      <c r="P102" s="981"/>
      <c r="Q102" s="981"/>
      <c r="R102" s="981"/>
      <c r="S102" s="981"/>
      <c r="T102" s="981"/>
      <c r="U102" s="981"/>
      <c r="V102" s="981"/>
      <c r="W102" s="981"/>
      <c r="X102" s="981"/>
      <c r="Y102" s="981"/>
      <c r="Z102" s="981"/>
      <c r="AA102" s="981"/>
      <c r="AB102" s="981"/>
      <c r="AC102" s="980"/>
      <c r="AD102" s="980"/>
      <c r="AE102" s="980"/>
      <c r="AF102" s="980"/>
      <c r="AG102" s="980"/>
      <c r="AH102" s="980"/>
      <c r="AI102" s="980"/>
      <c r="AJ102" s="980"/>
      <c r="AK102" s="980"/>
      <c r="AL102" s="980"/>
      <c r="AM102" s="980"/>
      <c r="AN102" s="980"/>
      <c r="AO102" s="980"/>
      <c r="AP102" s="980"/>
      <c r="AQ102" s="980"/>
      <c r="AR102" s="980"/>
      <c r="AS102" s="980"/>
      <c r="AT102" s="980"/>
      <c r="AU102" s="980"/>
      <c r="AV102" s="980"/>
      <c r="AW102" s="980"/>
      <c r="AX102" s="980"/>
      <c r="AY102" s="980"/>
      <c r="AZ102" s="980"/>
      <c r="BA102" s="980"/>
      <c r="BB102" s="980"/>
      <c r="BC102" s="980"/>
      <c r="BD102" s="980"/>
      <c r="BE102" s="980"/>
      <c r="BF102" s="980"/>
      <c r="BG102" s="980"/>
      <c r="BH102" s="980"/>
      <c r="BI102" s="980"/>
      <c r="BJ102" s="980"/>
      <c r="BK102" s="980"/>
      <c r="BL102" s="980"/>
      <c r="BM102" s="980"/>
      <c r="BN102" s="980"/>
      <c r="BO102" s="980"/>
      <c r="BP102" s="980"/>
      <c r="BQ102" s="980"/>
      <c r="BR102" s="980"/>
      <c r="BS102" s="980"/>
      <c r="BT102" s="982"/>
      <c r="BU102" s="982"/>
      <c r="BV102" s="982"/>
      <c r="BW102" s="982"/>
      <c r="BX102" s="982"/>
      <c r="BY102" s="982"/>
      <c r="BZ102" s="982"/>
      <c r="CA102" s="982"/>
      <c r="CB102" s="982"/>
      <c r="CC102" s="982"/>
      <c r="CD102" s="982"/>
      <c r="CE102" s="982"/>
      <c r="CF102" s="982"/>
      <c r="CG102" s="982"/>
      <c r="CH102" s="982"/>
      <c r="CI102" s="982"/>
      <c r="CJ102" s="982"/>
      <c r="CK102" s="982"/>
      <c r="CL102" s="980"/>
      <c r="CM102" s="980"/>
      <c r="CN102" s="980"/>
      <c r="CO102" s="980"/>
      <c r="CP102" s="980"/>
      <c r="CQ102" s="980"/>
      <c r="CR102" s="980"/>
      <c r="CS102" s="980"/>
      <c r="CT102" s="980"/>
      <c r="CU102" s="980"/>
      <c r="CV102" s="980"/>
      <c r="CW102" s="980"/>
      <c r="CX102" s="980"/>
      <c r="CY102" s="981"/>
      <c r="CZ102" s="981"/>
      <c r="DA102" s="981"/>
      <c r="DB102" s="981"/>
      <c r="DC102" s="981"/>
      <c r="DD102" s="981"/>
      <c r="DE102" s="981"/>
      <c r="DF102" s="981"/>
      <c r="DG102" s="981"/>
      <c r="DH102" s="981"/>
      <c r="DI102" s="981"/>
      <c r="DJ102" s="981"/>
      <c r="DK102" s="980"/>
      <c r="DL102" s="980"/>
      <c r="DM102" s="980"/>
      <c r="DN102" s="980"/>
      <c r="DO102" s="980"/>
      <c r="DP102" s="980"/>
      <c r="DQ102" s="980"/>
      <c r="DR102" s="980"/>
      <c r="DS102" s="980"/>
      <c r="DT102" s="980"/>
      <c r="DU102" s="980"/>
      <c r="DV102" s="980"/>
      <c r="DW102" s="980"/>
      <c r="DX102" s="980"/>
      <c r="DY102" s="980"/>
      <c r="DZ102" s="980"/>
      <c r="EA102" s="980"/>
      <c r="EB102" s="980"/>
      <c r="EC102" s="980"/>
      <c r="ED102" s="980"/>
      <c r="EE102" s="980"/>
      <c r="EF102" s="980"/>
      <c r="EG102" s="980"/>
      <c r="EH102" s="980"/>
      <c r="EI102" s="980"/>
      <c r="EJ102" s="980"/>
      <c r="EK102" s="980"/>
      <c r="EL102" s="980"/>
      <c r="EM102" s="980"/>
      <c r="EN102" s="980"/>
      <c r="EO102" s="980"/>
      <c r="EP102" s="980"/>
      <c r="EQ102" s="980"/>
      <c r="ER102" s="980"/>
      <c r="ES102" s="980"/>
      <c r="ET102" s="980"/>
      <c r="EU102" s="980"/>
      <c r="EV102" s="980"/>
      <c r="EW102" s="980"/>
      <c r="EX102" s="980"/>
      <c r="EY102" s="980"/>
      <c r="EZ102" s="980"/>
      <c r="FA102" s="980"/>
      <c r="FB102" s="980"/>
      <c r="FC102" s="980"/>
      <c r="FD102" s="980"/>
      <c r="FE102" s="980"/>
      <c r="FF102" s="980"/>
      <c r="FG102" s="980"/>
      <c r="FH102" s="980"/>
      <c r="FI102" s="980"/>
      <c r="FJ102" s="980"/>
      <c r="FK102" s="980"/>
      <c r="FL102" s="980"/>
      <c r="FM102" s="980"/>
      <c r="FN102" s="980"/>
      <c r="FO102" s="980"/>
      <c r="FP102" s="980"/>
      <c r="FQ102" s="980"/>
      <c r="FR102" s="980"/>
      <c r="FS102" s="980"/>
      <c r="FT102" s="980"/>
      <c r="FU102" s="980"/>
      <c r="FV102" s="980"/>
      <c r="FW102" s="980"/>
      <c r="FX102" s="971"/>
    </row>
    <row r="103" spans="1:184" s="1796" customFormat="1" ht="12" customHeight="1">
      <c r="A103" s="712"/>
      <c r="B103" s="711"/>
      <c r="C103" s="712"/>
      <c r="D103" s="712"/>
      <c r="E103" s="712"/>
      <c r="F103" s="983"/>
      <c r="G103" s="1532" t="s">
        <v>1077</v>
      </c>
      <c r="H103" s="984"/>
      <c r="I103" s="984"/>
      <c r="J103" s="984"/>
      <c r="K103" s="984"/>
      <c r="L103" s="984"/>
      <c r="M103" s="984"/>
      <c r="N103" s="984"/>
      <c r="O103" s="984"/>
      <c r="P103" s="984"/>
      <c r="Q103" s="984"/>
      <c r="R103" s="984"/>
      <c r="S103" s="984"/>
      <c r="T103" s="984"/>
      <c r="U103" s="984"/>
      <c r="V103" s="984"/>
      <c r="W103" s="984"/>
      <c r="X103" s="984"/>
      <c r="Y103" s="984"/>
      <c r="Z103" s="984"/>
      <c r="AA103" s="984"/>
      <c r="AB103" s="984"/>
      <c r="AC103" s="984"/>
      <c r="AD103" s="984"/>
      <c r="AE103" s="984"/>
      <c r="AF103" s="984"/>
      <c r="AG103" s="984"/>
      <c r="AH103" s="984"/>
      <c r="AI103" s="984"/>
      <c r="AJ103" s="984"/>
      <c r="AK103" s="984"/>
      <c r="AL103" s="984"/>
      <c r="AM103" s="984"/>
      <c r="AN103" s="984"/>
      <c r="AO103" s="984"/>
      <c r="AP103" s="984"/>
      <c r="AQ103" s="984"/>
      <c r="AR103" s="984"/>
      <c r="AS103" s="984"/>
      <c r="AT103" s="984"/>
      <c r="AU103" s="984"/>
      <c r="AV103" s="984"/>
      <c r="AW103" s="984"/>
      <c r="AX103" s="984"/>
      <c r="AY103" s="984"/>
      <c r="AZ103" s="984"/>
      <c r="BA103" s="984"/>
      <c r="BB103" s="984"/>
      <c r="BC103" s="984"/>
      <c r="BD103" s="984"/>
      <c r="BE103" s="984"/>
      <c r="BF103" s="984"/>
      <c r="BG103" s="984"/>
      <c r="BH103" s="984"/>
      <c r="BI103" s="984"/>
      <c r="BJ103" s="984"/>
      <c r="BK103" s="984"/>
      <c r="BL103" s="984"/>
      <c r="BM103" s="984"/>
      <c r="BN103" s="984"/>
      <c r="BO103" s="984"/>
      <c r="BP103" s="984"/>
      <c r="BQ103" s="984"/>
      <c r="BR103" s="984"/>
      <c r="BS103" s="984"/>
      <c r="BT103" s="984"/>
      <c r="BU103" s="984"/>
      <c r="BV103" s="984"/>
      <c r="BW103" s="984"/>
      <c r="BX103" s="984"/>
      <c r="BY103" s="984"/>
      <c r="BZ103" s="984"/>
      <c r="CA103" s="984"/>
      <c r="CB103" s="984"/>
      <c r="CC103" s="984"/>
      <c r="CD103" s="984"/>
      <c r="CE103" s="984"/>
      <c r="CF103" s="984"/>
      <c r="CG103" s="984"/>
      <c r="CH103" s="984"/>
      <c r="CI103" s="984"/>
      <c r="CJ103" s="984"/>
      <c r="CK103" s="984"/>
      <c r="CL103" s="984"/>
      <c r="CM103" s="984"/>
      <c r="CN103" s="984"/>
      <c r="CO103" s="984"/>
      <c r="CP103" s="984"/>
      <c r="CQ103" s="984"/>
      <c r="CR103" s="984"/>
      <c r="CS103" s="984"/>
      <c r="CT103" s="984"/>
      <c r="CU103" s="984"/>
      <c r="CV103" s="984"/>
      <c r="CW103" s="984"/>
      <c r="CX103" s="984"/>
      <c r="CY103" s="984"/>
      <c r="CZ103" s="984"/>
      <c r="DA103" s="984"/>
      <c r="DB103" s="984"/>
      <c r="DC103" s="984"/>
      <c r="DD103" s="984"/>
      <c r="DE103" s="984"/>
      <c r="DF103" s="984"/>
      <c r="DG103" s="984"/>
      <c r="DH103" s="984"/>
      <c r="DI103" s="984"/>
      <c r="DJ103" s="984"/>
      <c r="DK103" s="984"/>
      <c r="DL103" s="984"/>
      <c r="DM103" s="984"/>
      <c r="DN103" s="984"/>
      <c r="DO103" s="984"/>
      <c r="DP103" s="984"/>
      <c r="DQ103" s="984"/>
      <c r="DR103" s="984"/>
      <c r="DS103" s="984"/>
      <c r="DT103" s="984"/>
      <c r="DU103" s="984"/>
      <c r="DV103" s="984"/>
      <c r="DW103" s="984"/>
      <c r="DX103" s="984"/>
      <c r="DY103" s="984"/>
      <c r="DZ103" s="984"/>
      <c r="EA103" s="984"/>
      <c r="EB103" s="984"/>
      <c r="EC103" s="984"/>
      <c r="ED103" s="984"/>
      <c r="EE103" s="984"/>
      <c r="EF103" s="984"/>
      <c r="EG103" s="984"/>
      <c r="EH103" s="984"/>
      <c r="EI103" s="984"/>
      <c r="EJ103" s="984"/>
      <c r="EK103" s="984"/>
      <c r="EL103" s="984"/>
      <c r="EM103" s="984"/>
      <c r="EN103" s="984"/>
      <c r="EO103" s="984"/>
      <c r="EP103" s="984"/>
      <c r="EQ103" s="984"/>
      <c r="ER103" s="984"/>
      <c r="ES103" s="984"/>
      <c r="ET103" s="984"/>
      <c r="EU103" s="984"/>
      <c r="EV103" s="984"/>
      <c r="EW103" s="984"/>
      <c r="EX103" s="984"/>
      <c r="EY103" s="984"/>
      <c r="EZ103" s="984"/>
      <c r="FA103" s="984"/>
      <c r="FB103" s="984"/>
      <c r="FC103" s="984"/>
      <c r="FD103" s="984"/>
      <c r="FE103" s="984"/>
      <c r="FF103" s="984"/>
      <c r="FG103" s="984"/>
      <c r="FH103" s="984"/>
      <c r="FI103" s="984"/>
      <c r="FJ103" s="984"/>
      <c r="FK103" s="984"/>
      <c r="FL103" s="984"/>
      <c r="FM103" s="984"/>
      <c r="FN103" s="984"/>
      <c r="FO103" s="984"/>
      <c r="FP103" s="984"/>
      <c r="FQ103" s="984"/>
      <c r="FR103" s="984"/>
      <c r="FS103" s="984"/>
      <c r="FT103" s="984"/>
      <c r="FU103" s="984"/>
      <c r="FV103" s="984"/>
      <c r="FW103" s="985"/>
      <c r="FX103" s="986"/>
      <c r="FY103" s="726"/>
      <c r="FZ103" s="726"/>
      <c r="GA103" s="726"/>
      <c r="GB103" s="726"/>
    </row>
    <row r="105" spans="1:184" s="1832" customFormat="1" ht="11.25" customHeight="1">
      <c r="A105" s="1547" t="s">
        <v>1078</v>
      </c>
    </row>
    <row r="107" spans="1:184" s="1633" customFormat="1" ht="15" customHeight="1">
      <c r="A107" s="464"/>
      <c r="B107" s="465"/>
      <c r="C107" s="465"/>
      <c r="D107" s="2202" t="s">
        <v>43</v>
      </c>
      <c r="E107" s="2193" t="s">
        <v>39</v>
      </c>
      <c r="F107" s="2194"/>
      <c r="G107" s="2195"/>
      <c r="H107" s="2196" t="str">
        <f>IF(A107="","",INDEX(DIFFERENTIATION_UNMERGE_VD,MATCH(A107,DIFFERENTIATION_ID_DIFF,0)))</f>
        <v/>
      </c>
      <c r="I107" s="2196"/>
      <c r="J107" s="2196"/>
      <c r="K107" s="2196"/>
      <c r="L107" s="2196"/>
      <c r="M107" s="2196"/>
      <c r="N107" s="2196"/>
      <c r="O107" s="2196"/>
      <c r="P107" s="2196"/>
      <c r="Q107" s="2196"/>
      <c r="R107" s="2196"/>
      <c r="S107" s="546"/>
      <c r="T107" s="543"/>
      <c r="U107" s="466"/>
      <c r="V107" s="466"/>
      <c r="W107" s="467"/>
      <c r="X107" s="467"/>
      <c r="Y107" s="467"/>
      <c r="Z107" s="467"/>
      <c r="AA107" s="468"/>
      <c r="AB107" s="469"/>
      <c r="AC107" s="2205"/>
      <c r="AD107" s="470"/>
      <c r="AE107" s="471" t="s">
        <v>1</v>
      </c>
      <c r="AF107" s="471"/>
      <c r="AG107" s="472" t="s">
        <v>527</v>
      </c>
      <c r="AH107" s="473">
        <v>3</v>
      </c>
      <c r="AI107" s="466"/>
      <c r="AJ107" s="466"/>
      <c r="AK107" s="466"/>
      <c r="AL107" s="466"/>
      <c r="AM107" s="466"/>
      <c r="AN107" s="466"/>
      <c r="AO107" s="466"/>
      <c r="AP107" s="466"/>
      <c r="AQ107" s="466"/>
      <c r="AR107" s="466"/>
      <c r="AS107" s="466"/>
      <c r="AT107" s="466"/>
      <c r="AU107" s="466"/>
      <c r="AV107" s="466"/>
      <c r="AW107" s="466"/>
      <c r="AX107" s="466"/>
      <c r="AY107" s="466"/>
      <c r="AZ107" s="466"/>
      <c r="BA107" s="466"/>
      <c r="BB107" s="466"/>
      <c r="BC107" s="466"/>
      <c r="BD107" s="466"/>
      <c r="BE107" s="466"/>
      <c r="BF107" s="466"/>
      <c r="BG107" s="466"/>
      <c r="BH107" s="466"/>
      <c r="BI107" s="466"/>
      <c r="BJ107" s="466"/>
      <c r="BK107" s="466"/>
      <c r="BL107" s="466"/>
      <c r="BM107" s="466"/>
      <c r="BN107" s="466"/>
      <c r="BO107" s="466"/>
      <c r="BP107" s="466"/>
      <c r="BQ107" s="466"/>
      <c r="BR107" s="466"/>
      <c r="BS107" s="466"/>
      <c r="BT107" s="466"/>
      <c r="BU107" s="466"/>
      <c r="BV107" s="467"/>
      <c r="BW107" s="467"/>
      <c r="BX107" s="467"/>
      <c r="BY107" s="467"/>
      <c r="BZ107" s="467"/>
      <c r="CA107" s="467"/>
      <c r="CB107" s="467"/>
      <c r="CC107" s="467"/>
      <c r="CD107" s="467"/>
      <c r="CE107" s="467"/>
    </row>
    <row r="108" spans="1:184" s="1633" customFormat="1" ht="15" customHeight="1">
      <c r="A108" s="464"/>
      <c r="B108" s="465"/>
      <c r="C108" s="465"/>
      <c r="D108" s="2203"/>
      <c r="E108" s="2193" t="s">
        <v>482</v>
      </c>
      <c r="F108" s="2194"/>
      <c r="G108" s="2195"/>
      <c r="H108" s="2196" t="str">
        <f>IF(A107="","",INDEX(DIFFERENTIATION_UNMERGE_AREA,MATCH(A107,DIFFERENTIATION_ID_DIFF,0)))</f>
        <v/>
      </c>
      <c r="I108" s="2196"/>
      <c r="J108" s="2196"/>
      <c r="K108" s="2196"/>
      <c r="L108" s="2196"/>
      <c r="M108" s="2196"/>
      <c r="N108" s="2196"/>
      <c r="O108" s="2196"/>
      <c r="P108" s="2196"/>
      <c r="Q108" s="2196"/>
      <c r="R108" s="2196"/>
      <c r="S108" s="546"/>
      <c r="T108" s="543"/>
      <c r="U108" s="466"/>
      <c r="V108" s="466"/>
      <c r="W108" s="467"/>
      <c r="X108" s="467"/>
      <c r="Y108" s="467"/>
      <c r="Z108" s="467"/>
      <c r="AA108" s="468"/>
      <c r="AB108" s="469"/>
      <c r="AC108" s="2205"/>
      <c r="AD108" s="470"/>
      <c r="AE108" s="471"/>
      <c r="AF108" s="471"/>
      <c r="AG108" s="472"/>
      <c r="AH108" s="473"/>
      <c r="AI108" s="466"/>
      <c r="AJ108" s="466"/>
      <c r="AK108" s="466"/>
      <c r="AL108" s="466"/>
      <c r="AM108" s="466"/>
      <c r="AN108" s="466"/>
      <c r="AO108" s="466"/>
      <c r="AP108" s="466"/>
      <c r="AQ108" s="466"/>
      <c r="AR108" s="466"/>
      <c r="AS108" s="466"/>
      <c r="AT108" s="466"/>
      <c r="AU108" s="466"/>
      <c r="AV108" s="466"/>
      <c r="AW108" s="466"/>
      <c r="AX108" s="466"/>
      <c r="AY108" s="466"/>
      <c r="AZ108" s="466"/>
      <c r="BA108" s="466"/>
      <c r="BB108" s="466"/>
      <c r="BC108" s="466"/>
      <c r="BD108" s="466"/>
      <c r="BE108" s="466"/>
      <c r="BF108" s="466"/>
      <c r="BG108" s="466"/>
      <c r="BH108" s="466"/>
      <c r="BI108" s="466"/>
      <c r="BJ108" s="466"/>
      <c r="BK108" s="466"/>
      <c r="BL108" s="466"/>
      <c r="BM108" s="466"/>
      <c r="BN108" s="466"/>
      <c r="BO108" s="466"/>
      <c r="BP108" s="466"/>
      <c r="BQ108" s="466"/>
      <c r="BR108" s="466"/>
      <c r="BS108" s="466"/>
      <c r="BT108" s="466"/>
      <c r="BU108" s="466"/>
      <c r="BV108" s="467"/>
      <c r="BW108" s="467"/>
      <c r="BX108" s="467"/>
      <c r="BY108" s="467"/>
      <c r="BZ108" s="467"/>
      <c r="CA108" s="467"/>
      <c r="CB108" s="467"/>
      <c r="CC108" s="467"/>
      <c r="CD108" s="467"/>
      <c r="CE108" s="467"/>
    </row>
    <row r="109" spans="1:184" s="1633" customFormat="1" ht="15" customHeight="1">
      <c r="A109" s="464"/>
      <c r="B109" s="465"/>
      <c r="C109" s="465"/>
      <c r="D109" s="2203"/>
      <c r="E109" s="2193" t="s">
        <v>483</v>
      </c>
      <c r="F109" s="2194"/>
      <c r="G109" s="2195"/>
      <c r="H109" s="2196" t="str">
        <f>IF(A107="","",INDEX(DIFFERENTIATION_UNMERGE_SYSTEM,MATCH(A107,DIFFERENTIATION_ID_DIFF,0)))</f>
        <v/>
      </c>
      <c r="I109" s="2196"/>
      <c r="J109" s="2196"/>
      <c r="K109" s="2196"/>
      <c r="L109" s="2196"/>
      <c r="M109" s="2196"/>
      <c r="N109" s="2196"/>
      <c r="O109" s="2196"/>
      <c r="P109" s="2196"/>
      <c r="Q109" s="2196"/>
      <c r="R109" s="2196"/>
      <c r="S109" s="546"/>
      <c r="T109" s="543"/>
      <c r="U109" s="466"/>
      <c r="V109" s="466"/>
      <c r="W109" s="467"/>
      <c r="X109" s="467"/>
      <c r="Y109" s="467"/>
      <c r="Z109" s="467"/>
      <c r="AA109" s="468"/>
      <c r="AB109" s="469"/>
      <c r="AC109" s="2205"/>
      <c r="AD109" s="470"/>
      <c r="AE109" s="471"/>
      <c r="AF109" s="471"/>
      <c r="AG109" s="472"/>
      <c r="AH109" s="473"/>
      <c r="AI109" s="466"/>
      <c r="AJ109" s="466"/>
      <c r="AK109" s="466"/>
      <c r="AL109" s="466"/>
      <c r="AM109" s="466"/>
      <c r="AN109" s="466"/>
      <c r="AO109" s="466"/>
      <c r="AP109" s="466"/>
      <c r="AQ109" s="466"/>
      <c r="AR109" s="466"/>
      <c r="AS109" s="466"/>
      <c r="AT109" s="466"/>
      <c r="AU109" s="466"/>
      <c r="AV109" s="466"/>
      <c r="AW109" s="466"/>
      <c r="AX109" s="466"/>
      <c r="AY109" s="466"/>
      <c r="AZ109" s="466"/>
      <c r="BA109" s="466"/>
      <c r="BB109" s="466"/>
      <c r="BC109" s="466"/>
      <c r="BD109" s="466"/>
      <c r="BE109" s="466"/>
      <c r="BF109" s="466"/>
      <c r="BG109" s="466"/>
      <c r="BH109" s="466"/>
      <c r="BI109" s="466"/>
      <c r="BJ109" s="466"/>
      <c r="BK109" s="466"/>
      <c r="BL109" s="466"/>
      <c r="BM109" s="466"/>
      <c r="BN109" s="466"/>
      <c r="BO109" s="466"/>
      <c r="BP109" s="466"/>
      <c r="BQ109" s="466"/>
      <c r="BR109" s="466"/>
      <c r="BS109" s="466"/>
      <c r="BT109" s="466"/>
      <c r="BU109" s="466"/>
      <c r="BV109" s="467"/>
      <c r="BW109" s="467"/>
      <c r="BX109" s="467"/>
      <c r="BY109" s="467"/>
      <c r="BZ109" s="467"/>
      <c r="CA109" s="467"/>
      <c r="CB109" s="467"/>
      <c r="CC109" s="467"/>
      <c r="CD109" s="467"/>
      <c r="CE109" s="467"/>
    </row>
    <row r="110" spans="1:184" s="1633" customFormat="1" ht="24.75" customHeight="1">
      <c r="A110" s="1538"/>
      <c r="B110" s="929"/>
      <c r="C110" s="293"/>
      <c r="D110" s="2203"/>
      <c r="E110" s="2201" t="s">
        <v>528</v>
      </c>
      <c r="F110" s="2201"/>
      <c r="G110" s="2201"/>
      <c r="H110" s="2201"/>
      <c r="I110" s="2201"/>
      <c r="J110" s="2201"/>
      <c r="K110" s="2201"/>
      <c r="L110" s="2201"/>
      <c r="M110" s="2201"/>
      <c r="N110" s="2201"/>
      <c r="O110" s="2201"/>
      <c r="P110" s="2201"/>
      <c r="Q110" s="416">
        <f>SUMIF(T111:T112,"i",Q111:Q112)</f>
        <v>0</v>
      </c>
      <c r="R110" s="800"/>
      <c r="S110" s="1530" t="s">
        <v>529</v>
      </c>
      <c r="T110" s="544" t="s">
        <v>530</v>
      </c>
      <c r="U110" s="2115">
        <v>1</v>
      </c>
      <c r="V110" s="2115" t="s">
        <v>493</v>
      </c>
      <c r="W110" s="929"/>
      <c r="X110" s="929"/>
      <c r="Y110" s="929"/>
      <c r="Z110" s="929"/>
      <c r="AA110" s="1406"/>
      <c r="AB110" s="929"/>
      <c r="AC110" s="2205"/>
      <c r="AD110" s="470"/>
      <c r="AE110" s="929"/>
      <c r="AF110" s="929"/>
      <c r="AG110" s="1406"/>
      <c r="AH110" s="1406"/>
      <c r="AI110" s="1406"/>
      <c r="AJ110" s="1406"/>
      <c r="AK110" s="1406"/>
      <c r="AL110" s="1406"/>
      <c r="AM110" s="1406"/>
      <c r="AN110" s="1406"/>
      <c r="AO110" s="1406"/>
      <c r="AP110" s="1406"/>
      <c r="AQ110" s="1406"/>
      <c r="AR110" s="1406"/>
      <c r="AS110" s="1406"/>
      <c r="AT110" s="1406"/>
      <c r="AU110" s="1406"/>
      <c r="AV110" s="1406"/>
      <c r="AW110" s="1406"/>
      <c r="AX110" s="1406"/>
      <c r="AY110" s="1406"/>
      <c r="AZ110" s="1406"/>
      <c r="BA110" s="1406"/>
      <c r="BB110" s="1406"/>
      <c r="BC110" s="1406"/>
      <c r="BD110" s="1406"/>
      <c r="BE110" s="1406"/>
      <c r="BF110" s="1406"/>
      <c r="BG110" s="1406"/>
      <c r="BH110" s="1406"/>
      <c r="BI110" s="1406"/>
      <c r="BJ110" s="1406"/>
      <c r="BK110" s="1406"/>
      <c r="BL110" s="1406"/>
      <c r="BM110" s="1406"/>
      <c r="BN110" s="1406"/>
      <c r="BO110" s="1406"/>
      <c r="BP110" s="1406"/>
      <c r="BQ110" s="1406"/>
      <c r="BR110" s="1406"/>
      <c r="BS110" s="1406"/>
      <c r="BT110" s="1406"/>
      <c r="BU110" s="1406"/>
      <c r="BV110" s="929"/>
      <c r="BW110" s="929"/>
      <c r="BX110" s="929"/>
      <c r="BY110" s="929"/>
      <c r="BZ110" s="929"/>
      <c r="CA110" s="929"/>
      <c r="CB110" s="929"/>
      <c r="CC110" s="929"/>
      <c r="CD110" s="929"/>
      <c r="CE110" s="929"/>
    </row>
    <row r="111" spans="1:184" s="1633" customFormat="1" ht="11.25" hidden="1" customHeight="1">
      <c r="A111" s="1525"/>
      <c r="B111" s="1406"/>
      <c r="C111" s="1406"/>
      <c r="D111" s="2203"/>
      <c r="E111" s="476"/>
      <c r="F111" s="476">
        <v>0</v>
      </c>
      <c r="G111" s="476"/>
      <c r="H111" s="476"/>
      <c r="I111" s="476"/>
      <c r="J111" s="476"/>
      <c r="K111" s="476"/>
      <c r="L111" s="476"/>
      <c r="M111" s="476"/>
      <c r="N111" s="476"/>
      <c r="O111" s="476"/>
      <c r="P111" s="476"/>
      <c r="Q111" s="476"/>
      <c r="R111" s="476"/>
      <c r="S111" s="477"/>
      <c r="T111" s="545"/>
      <c r="U111" s="2115"/>
      <c r="V111" s="2115"/>
      <c r="W111" s="1406"/>
      <c r="X111" s="1406"/>
      <c r="Y111" s="1406"/>
      <c r="Z111" s="1406"/>
      <c r="AA111" s="1406"/>
      <c r="AB111" s="929"/>
      <c r="AC111" s="2205"/>
      <c r="AD111" s="470"/>
      <c r="AE111" s="929"/>
      <c r="AF111" s="929"/>
      <c r="AG111" s="1406"/>
      <c r="AH111" s="1406"/>
      <c r="AI111" s="1406"/>
      <c r="AJ111" s="1406"/>
      <c r="AK111" s="1406"/>
      <c r="AL111" s="1406"/>
      <c r="AM111" s="1406"/>
      <c r="AN111" s="1406"/>
      <c r="AO111" s="1406"/>
      <c r="AP111" s="1406"/>
      <c r="AQ111" s="1406"/>
      <c r="AR111" s="1406"/>
      <c r="AS111" s="1406"/>
      <c r="AT111" s="1406"/>
      <c r="AU111" s="1406"/>
      <c r="AV111" s="1406"/>
      <c r="AW111" s="1406"/>
      <c r="AX111" s="1406"/>
      <c r="AY111" s="1406"/>
      <c r="AZ111" s="1406"/>
      <c r="BA111" s="1406"/>
      <c r="BB111" s="1406"/>
      <c r="BC111" s="1406"/>
      <c r="BD111" s="1406"/>
      <c r="BE111" s="1406"/>
      <c r="BF111" s="1406"/>
      <c r="BG111" s="1406"/>
      <c r="BH111" s="1406"/>
      <c r="BI111" s="1406"/>
      <c r="BJ111" s="1406"/>
      <c r="BK111" s="1406"/>
      <c r="BL111" s="1406"/>
      <c r="BM111" s="1406"/>
      <c r="BN111" s="1406"/>
      <c r="BO111" s="1406"/>
      <c r="BP111" s="1406"/>
      <c r="BQ111" s="1406"/>
      <c r="BR111" s="1406"/>
      <c r="BS111" s="1406"/>
      <c r="BT111" s="1406"/>
      <c r="BU111" s="1406"/>
      <c r="BV111" s="1406"/>
      <c r="BW111" s="1406"/>
      <c r="BX111" s="1406"/>
      <c r="BY111" s="1406"/>
      <c r="BZ111" s="1406"/>
      <c r="CA111" s="1406"/>
      <c r="CB111" s="1406"/>
      <c r="CC111" s="1406"/>
      <c r="CD111" s="1406"/>
      <c r="CE111" s="1406"/>
    </row>
    <row r="112" spans="1:184" s="1633" customFormat="1" ht="11.25" customHeight="1">
      <c r="A112" s="1538"/>
      <c r="B112" s="929"/>
      <c r="C112" s="293"/>
      <c r="D112" s="2203"/>
      <c r="E112" s="490" t="s">
        <v>1</v>
      </c>
      <c r="F112" s="936" t="s">
        <v>1</v>
      </c>
      <c r="G112" s="936" t="s">
        <v>533</v>
      </c>
      <c r="H112" s="492" t="s">
        <v>1</v>
      </c>
      <c r="I112" s="492"/>
      <c r="J112" s="492"/>
      <c r="K112" s="492"/>
      <c r="L112" s="492"/>
      <c r="M112" s="492"/>
      <c r="N112" s="492"/>
      <c r="O112" s="492"/>
      <c r="P112" s="492"/>
      <c r="Q112" s="492"/>
      <c r="R112" s="493"/>
      <c r="S112" s="494"/>
      <c r="T112" s="545"/>
      <c r="U112" s="2115"/>
      <c r="V112" s="2115"/>
      <c r="W112" s="929"/>
      <c r="X112" s="929"/>
      <c r="Y112" s="929"/>
      <c r="Z112" s="929"/>
      <c r="AA112" s="1406"/>
      <c r="AB112" s="929"/>
      <c r="AC112" s="2205"/>
      <c r="AD112" s="470"/>
      <c r="AE112" s="929"/>
      <c r="AF112" s="929"/>
      <c r="AG112" s="1406"/>
      <c r="AH112" s="1406"/>
      <c r="AI112" s="1406"/>
      <c r="AJ112" s="1406"/>
      <c r="AK112" s="1406"/>
      <c r="AL112" s="1406"/>
      <c r="AM112" s="1406"/>
      <c r="AN112" s="1406"/>
      <c r="AO112" s="1406"/>
      <c r="AP112" s="1406"/>
      <c r="AQ112" s="1406"/>
      <c r="AR112" s="1406"/>
      <c r="AS112" s="1406"/>
      <c r="AT112" s="1406"/>
      <c r="AU112" s="1406"/>
      <c r="AV112" s="1406"/>
      <c r="AW112" s="1406"/>
      <c r="AX112" s="1406"/>
      <c r="AY112" s="1406"/>
      <c r="AZ112" s="1406"/>
      <c r="BA112" s="1406"/>
      <c r="BB112" s="1406"/>
      <c r="BC112" s="1406"/>
      <c r="BD112" s="1406"/>
      <c r="BE112" s="1406"/>
      <c r="BF112" s="1406"/>
      <c r="BG112" s="1406"/>
      <c r="BH112" s="1406"/>
      <c r="BI112" s="1406"/>
      <c r="BJ112" s="1406"/>
      <c r="BK112" s="1406"/>
      <c r="BL112" s="1406"/>
      <c r="BM112" s="1406"/>
      <c r="BN112" s="1406"/>
      <c r="BO112" s="1406"/>
      <c r="BP112" s="1406"/>
      <c r="BQ112" s="1406"/>
      <c r="BR112" s="1406"/>
      <c r="BS112" s="1406"/>
      <c r="BT112" s="1406"/>
      <c r="BU112" s="1406"/>
      <c r="BV112" s="929"/>
      <c r="BW112" s="929"/>
      <c r="BX112" s="929"/>
      <c r="BY112" s="929"/>
      <c r="BZ112" s="929"/>
      <c r="CA112" s="929"/>
      <c r="CB112" s="929"/>
      <c r="CC112" s="929"/>
      <c r="CD112" s="929"/>
      <c r="CE112" s="929"/>
    </row>
    <row r="113" spans="1:83" s="1633" customFormat="1" ht="24.75" customHeight="1">
      <c r="A113" s="1538"/>
      <c r="B113" s="929"/>
      <c r="C113" s="293"/>
      <c r="D113" s="2203"/>
      <c r="E113" s="2201" t="s">
        <v>531</v>
      </c>
      <c r="F113" s="2201"/>
      <c r="G113" s="2201"/>
      <c r="H113" s="2201"/>
      <c r="I113" s="2201"/>
      <c r="J113" s="2201"/>
      <c r="K113" s="2201"/>
      <c r="L113" s="2201"/>
      <c r="M113" s="2201"/>
      <c r="N113" s="2201"/>
      <c r="O113" s="2201"/>
      <c r="P113" s="2201"/>
      <c r="Q113" s="416">
        <f>SUMIF(T114:T115,"i",Q114:Q115)</f>
        <v>0</v>
      </c>
      <c r="R113" s="800"/>
      <c r="S113" s="1530" t="s">
        <v>532</v>
      </c>
      <c r="T113" s="544" t="s">
        <v>530</v>
      </c>
      <c r="U113" s="2115">
        <v>1</v>
      </c>
      <c r="V113" s="2115" t="s">
        <v>493</v>
      </c>
      <c r="W113" s="929"/>
      <c r="X113" s="929"/>
      <c r="Y113" s="929"/>
      <c r="Z113" s="929"/>
      <c r="AA113" s="1406"/>
      <c r="AB113" s="929"/>
      <c r="AC113" s="1528"/>
      <c r="AD113" s="470"/>
      <c r="AE113" s="929"/>
      <c r="AF113" s="929"/>
      <c r="AG113" s="1406"/>
      <c r="AH113" s="1406"/>
      <c r="AI113" s="1406"/>
      <c r="AJ113" s="1406"/>
      <c r="AK113" s="1406"/>
      <c r="AL113" s="1406"/>
      <c r="AM113" s="1406"/>
      <c r="AN113" s="1406"/>
      <c r="AO113" s="1406"/>
      <c r="AP113" s="1406"/>
      <c r="AQ113" s="1406"/>
      <c r="AR113" s="1406"/>
      <c r="AS113" s="1406"/>
      <c r="AT113" s="1406"/>
      <c r="AU113" s="1406"/>
      <c r="AV113" s="1406"/>
      <c r="AW113" s="1406"/>
      <c r="AX113" s="1406"/>
      <c r="AY113" s="1406"/>
      <c r="AZ113" s="1406"/>
      <c r="BA113" s="1406"/>
      <c r="BB113" s="1406"/>
      <c r="BC113" s="1406"/>
      <c r="BD113" s="1406"/>
      <c r="BE113" s="1406"/>
      <c r="BF113" s="1406"/>
      <c r="BG113" s="1406"/>
      <c r="BH113" s="1406"/>
      <c r="BI113" s="1406"/>
      <c r="BJ113" s="1406"/>
      <c r="BK113" s="1406"/>
      <c r="BL113" s="1406"/>
      <c r="BM113" s="1406"/>
      <c r="BN113" s="1406"/>
      <c r="BO113" s="1406"/>
      <c r="BP113" s="1406"/>
      <c r="BQ113" s="1406"/>
      <c r="BR113" s="1406"/>
      <c r="BS113" s="1406"/>
      <c r="BT113" s="1406"/>
      <c r="BU113" s="1406"/>
      <c r="BV113" s="929"/>
      <c r="BW113" s="929"/>
      <c r="BX113" s="929"/>
      <c r="BY113" s="929"/>
      <c r="BZ113" s="929"/>
      <c r="CA113" s="929"/>
      <c r="CB113" s="929"/>
      <c r="CC113" s="929"/>
      <c r="CD113" s="929"/>
      <c r="CE113" s="929"/>
    </row>
    <row r="114" spans="1:83" s="1633" customFormat="1" ht="11.25" hidden="1" customHeight="1">
      <c r="A114" s="1525"/>
      <c r="B114" s="1406"/>
      <c r="C114" s="1406"/>
      <c r="D114" s="2203"/>
      <c r="E114" s="476"/>
      <c r="F114" s="476">
        <v>0</v>
      </c>
      <c r="G114" s="476"/>
      <c r="H114" s="476"/>
      <c r="I114" s="476"/>
      <c r="J114" s="476"/>
      <c r="K114" s="476"/>
      <c r="L114" s="476"/>
      <c r="M114" s="476"/>
      <c r="N114" s="476"/>
      <c r="O114" s="476"/>
      <c r="P114" s="476"/>
      <c r="Q114" s="476"/>
      <c r="R114" s="476"/>
      <c r="S114" s="477"/>
      <c r="T114" s="545"/>
      <c r="U114" s="2115"/>
      <c r="V114" s="2115"/>
      <c r="W114" s="1406"/>
      <c r="X114" s="1406"/>
      <c r="Y114" s="1406"/>
      <c r="Z114" s="1406"/>
      <c r="AA114" s="1406"/>
      <c r="AB114" s="929"/>
      <c r="AC114" s="1528"/>
      <c r="AD114" s="470"/>
      <c r="AE114" s="929"/>
      <c r="AF114" s="929"/>
      <c r="AG114" s="1406"/>
      <c r="AH114" s="1406"/>
      <c r="AI114" s="1406"/>
      <c r="AJ114" s="1406"/>
      <c r="AK114" s="1406"/>
      <c r="AL114" s="1406"/>
      <c r="AM114" s="1406"/>
      <c r="AN114" s="1406"/>
      <c r="AO114" s="1406"/>
      <c r="AP114" s="1406"/>
      <c r="AQ114" s="1406"/>
      <c r="AR114" s="1406"/>
      <c r="AS114" s="1406"/>
      <c r="AT114" s="1406"/>
      <c r="AU114" s="1406"/>
      <c r="AV114" s="1406"/>
      <c r="AW114" s="1406"/>
      <c r="AX114" s="1406"/>
      <c r="AY114" s="1406"/>
      <c r="AZ114" s="1406"/>
      <c r="BA114" s="1406"/>
      <c r="BB114" s="1406"/>
      <c r="BC114" s="1406"/>
      <c r="BD114" s="1406"/>
      <c r="BE114" s="1406"/>
      <c r="BF114" s="1406"/>
      <c r="BG114" s="1406"/>
      <c r="BH114" s="1406"/>
      <c r="BI114" s="1406"/>
      <c r="BJ114" s="1406"/>
      <c r="BK114" s="1406"/>
      <c r="BL114" s="1406"/>
      <c r="BM114" s="1406"/>
      <c r="BN114" s="1406"/>
      <c r="BO114" s="1406"/>
      <c r="BP114" s="1406"/>
      <c r="BQ114" s="1406"/>
      <c r="BR114" s="1406"/>
      <c r="BS114" s="1406"/>
      <c r="BT114" s="1406"/>
      <c r="BU114" s="1406"/>
      <c r="BV114" s="1406"/>
      <c r="BW114" s="1406"/>
      <c r="BX114" s="1406"/>
      <c r="BY114" s="1406"/>
      <c r="BZ114" s="1406"/>
      <c r="CA114" s="1406"/>
      <c r="CB114" s="1406"/>
      <c r="CC114" s="1406"/>
      <c r="CD114" s="1406"/>
      <c r="CE114" s="1406"/>
    </row>
    <row r="115" spans="1:83" s="1633" customFormat="1" ht="11.25" customHeight="1">
      <c r="A115" s="1538"/>
      <c r="B115" s="929"/>
      <c r="C115" s="293"/>
      <c r="D115" s="2204"/>
      <c r="E115" s="490" t="s">
        <v>1</v>
      </c>
      <c r="F115" s="936" t="s">
        <v>1</v>
      </c>
      <c r="G115" s="936" t="s">
        <v>533</v>
      </c>
      <c r="H115" s="492" t="s">
        <v>1</v>
      </c>
      <c r="I115" s="492"/>
      <c r="J115" s="492"/>
      <c r="K115" s="492"/>
      <c r="L115" s="492"/>
      <c r="M115" s="492"/>
      <c r="N115" s="492"/>
      <c r="O115" s="492"/>
      <c r="P115" s="492"/>
      <c r="Q115" s="492"/>
      <c r="R115" s="493"/>
      <c r="S115" s="494"/>
      <c r="T115" s="545"/>
      <c r="U115" s="2115"/>
      <c r="V115" s="2115"/>
      <c r="W115" s="929"/>
      <c r="X115" s="929"/>
      <c r="Y115" s="929"/>
      <c r="Z115" s="929"/>
      <c r="AA115" s="1406"/>
      <c r="AB115" s="929"/>
      <c r="AC115" s="1528"/>
      <c r="AD115" s="470"/>
      <c r="AE115" s="929"/>
      <c r="AF115" s="929"/>
      <c r="AG115" s="1406"/>
      <c r="AH115" s="1406"/>
      <c r="AI115" s="1406"/>
      <c r="AJ115" s="1406"/>
      <c r="AK115" s="1406"/>
      <c r="AL115" s="1406"/>
      <c r="AM115" s="1406"/>
      <c r="AN115" s="1406"/>
      <c r="AO115" s="1406"/>
      <c r="AP115" s="1406"/>
      <c r="AQ115" s="1406"/>
      <c r="AR115" s="1406"/>
      <c r="AS115" s="1406"/>
      <c r="AT115" s="1406"/>
      <c r="AU115" s="1406"/>
      <c r="AV115" s="1406"/>
      <c r="AW115" s="1406"/>
      <c r="AX115" s="1406"/>
      <c r="AY115" s="1406"/>
      <c r="AZ115" s="1406"/>
      <c r="BA115" s="1406"/>
      <c r="BB115" s="1406"/>
      <c r="BC115" s="1406"/>
      <c r="BD115" s="1406"/>
      <c r="BE115" s="1406"/>
      <c r="BF115" s="1406"/>
      <c r="BG115" s="1406"/>
      <c r="BH115" s="1406"/>
      <c r="BI115" s="1406"/>
      <c r="BJ115" s="1406"/>
      <c r="BK115" s="1406"/>
      <c r="BL115" s="1406"/>
      <c r="BM115" s="1406"/>
      <c r="BN115" s="1406"/>
      <c r="BO115" s="1406"/>
      <c r="BP115" s="1406"/>
      <c r="BQ115" s="1406"/>
      <c r="BR115" s="1406"/>
      <c r="BS115" s="1406"/>
      <c r="BT115" s="1406"/>
      <c r="BU115" s="1406"/>
      <c r="BV115" s="929"/>
      <c r="BW115" s="929"/>
      <c r="BX115" s="929"/>
      <c r="BY115" s="929"/>
      <c r="BZ115" s="929"/>
      <c r="CA115" s="929"/>
      <c r="CB115" s="929"/>
      <c r="CC115" s="929"/>
      <c r="CD115" s="929"/>
      <c r="CE115" s="929"/>
    </row>
    <row r="117" spans="1:83" s="1832" customFormat="1" ht="11.25" customHeight="1">
      <c r="A117" s="1547" t="s">
        <v>1079</v>
      </c>
    </row>
    <row r="119" spans="1:83" s="1633" customFormat="1" ht="15" hidden="1" customHeight="1">
      <c r="A119" s="464"/>
      <c r="B119" s="465"/>
      <c r="C119" s="465"/>
      <c r="D119" s="2202" t="s">
        <v>43</v>
      </c>
      <c r="E119" s="2193" t="s">
        <v>39</v>
      </c>
      <c r="F119" s="2194"/>
      <c r="G119" s="2195"/>
      <c r="H119" s="2196" t="str">
        <f>IF(A119="","",INDEX(DIFFERENTIATION_UNMERGE_VD,MATCH(A119,DIFFERENTIATION_ID_DIFF,0)))</f>
        <v/>
      </c>
      <c r="I119" s="2196"/>
      <c r="J119" s="2196"/>
      <c r="K119" s="2196"/>
      <c r="L119" s="2196"/>
      <c r="M119" s="2196"/>
      <c r="N119" s="2196"/>
      <c r="O119" s="2196"/>
      <c r="P119" s="2196"/>
      <c r="Q119" s="2196"/>
      <c r="R119" s="2196"/>
      <c r="S119" s="546"/>
      <c r="T119" s="543"/>
      <c r="U119" s="466"/>
      <c r="V119" s="466"/>
      <c r="W119" s="467"/>
      <c r="X119" s="467"/>
      <c r="Y119" s="467"/>
      <c r="Z119" s="467"/>
      <c r="AA119" s="468"/>
      <c r="AB119" s="469"/>
      <c r="AC119" s="2205"/>
      <c r="AD119" s="470"/>
      <c r="AE119" s="471" t="s">
        <v>1</v>
      </c>
      <c r="AF119" s="471"/>
      <c r="AG119" s="472" t="s">
        <v>527</v>
      </c>
      <c r="AH119" s="473">
        <v>3</v>
      </c>
      <c r="AI119" s="466"/>
      <c r="AJ119" s="466"/>
      <c r="AK119" s="466"/>
      <c r="AL119" s="466"/>
      <c r="AM119" s="466"/>
      <c r="AN119" s="466"/>
      <c r="AO119" s="466"/>
      <c r="AP119" s="466"/>
      <c r="AQ119" s="466"/>
      <c r="AR119" s="466"/>
      <c r="AS119" s="466"/>
      <c r="AT119" s="466"/>
      <c r="AU119" s="466"/>
      <c r="AV119" s="466"/>
      <c r="AW119" s="466"/>
      <c r="AX119" s="466"/>
      <c r="AY119" s="466"/>
      <c r="AZ119" s="466"/>
      <c r="BA119" s="466"/>
      <c r="BB119" s="466"/>
      <c r="BC119" s="466"/>
      <c r="BD119" s="466"/>
      <c r="BE119" s="466"/>
      <c r="BF119" s="466"/>
      <c r="BG119" s="466"/>
      <c r="BH119" s="466"/>
      <c r="BI119" s="466"/>
      <c r="BJ119" s="466"/>
      <c r="BK119" s="466"/>
      <c r="BL119" s="466"/>
      <c r="BM119" s="466"/>
      <c r="BN119" s="466"/>
      <c r="BO119" s="466"/>
      <c r="BP119" s="466"/>
      <c r="BQ119" s="466"/>
      <c r="BR119" s="466"/>
      <c r="BS119" s="466"/>
      <c r="BT119" s="466"/>
      <c r="BU119" s="466"/>
      <c r="BV119" s="467"/>
      <c r="BW119" s="467"/>
      <c r="BX119" s="467"/>
      <c r="BY119" s="467"/>
      <c r="BZ119" s="467"/>
      <c r="CA119" s="467"/>
      <c r="CB119" s="467"/>
      <c r="CC119" s="467"/>
      <c r="CD119" s="467"/>
      <c r="CE119" s="467"/>
    </row>
    <row r="120" spans="1:83" s="1633" customFormat="1" ht="15" hidden="1" customHeight="1">
      <c r="A120" s="464"/>
      <c r="B120" s="465"/>
      <c r="C120" s="465"/>
      <c r="D120" s="2203"/>
      <c r="E120" s="2193" t="s">
        <v>482</v>
      </c>
      <c r="F120" s="2194"/>
      <c r="G120" s="2195"/>
      <c r="H120" s="2196" t="str">
        <f>IF(A119="","",INDEX(DIFFERENTIATION_UNMERGE_AREA,MATCH(A119,DIFFERENTIATION_ID_DIFF,0)))</f>
        <v/>
      </c>
      <c r="I120" s="2196"/>
      <c r="J120" s="2196"/>
      <c r="K120" s="2196"/>
      <c r="L120" s="2196"/>
      <c r="M120" s="2196"/>
      <c r="N120" s="2196"/>
      <c r="O120" s="2196"/>
      <c r="P120" s="2196"/>
      <c r="Q120" s="2196"/>
      <c r="R120" s="2196"/>
      <c r="S120" s="546"/>
      <c r="T120" s="543"/>
      <c r="U120" s="466"/>
      <c r="V120" s="466"/>
      <c r="W120" s="467"/>
      <c r="X120" s="467"/>
      <c r="Y120" s="467"/>
      <c r="Z120" s="467"/>
      <c r="AA120" s="468"/>
      <c r="AB120" s="469"/>
      <c r="AC120" s="2205"/>
      <c r="AD120" s="470"/>
      <c r="AE120" s="471"/>
      <c r="AF120" s="471"/>
      <c r="AG120" s="472"/>
      <c r="AH120" s="473"/>
      <c r="AI120" s="466"/>
      <c r="AJ120" s="466"/>
      <c r="AK120" s="466"/>
      <c r="AL120" s="466"/>
      <c r="AM120" s="466"/>
      <c r="AN120" s="466"/>
      <c r="AO120" s="466"/>
      <c r="AP120" s="466"/>
      <c r="AQ120" s="466"/>
      <c r="AR120" s="466"/>
      <c r="AS120" s="466"/>
      <c r="AT120" s="466"/>
      <c r="AU120" s="466"/>
      <c r="AV120" s="466"/>
      <c r="AW120" s="466"/>
      <c r="AX120" s="466"/>
      <c r="AY120" s="466"/>
      <c r="AZ120" s="466"/>
      <c r="BA120" s="466"/>
      <c r="BB120" s="466"/>
      <c r="BC120" s="466"/>
      <c r="BD120" s="466"/>
      <c r="BE120" s="466"/>
      <c r="BF120" s="466"/>
      <c r="BG120" s="466"/>
      <c r="BH120" s="466"/>
      <c r="BI120" s="466"/>
      <c r="BJ120" s="466"/>
      <c r="BK120" s="466"/>
      <c r="BL120" s="466"/>
      <c r="BM120" s="466"/>
      <c r="BN120" s="466"/>
      <c r="BO120" s="466"/>
      <c r="BP120" s="466"/>
      <c r="BQ120" s="466"/>
      <c r="BR120" s="466"/>
      <c r="BS120" s="466"/>
      <c r="BT120" s="466"/>
      <c r="BU120" s="466"/>
      <c r="BV120" s="467"/>
      <c r="BW120" s="467"/>
      <c r="BX120" s="467"/>
      <c r="BY120" s="467"/>
      <c r="BZ120" s="467"/>
      <c r="CA120" s="467"/>
      <c r="CB120" s="467"/>
      <c r="CC120" s="467"/>
      <c r="CD120" s="467"/>
      <c r="CE120" s="467"/>
    </row>
    <row r="121" spans="1:83" s="1633" customFormat="1" ht="15" hidden="1" customHeight="1">
      <c r="A121" s="464"/>
      <c r="B121" s="465"/>
      <c r="C121" s="465"/>
      <c r="D121" s="2203"/>
      <c r="E121" s="2193" t="s">
        <v>483</v>
      </c>
      <c r="F121" s="2194"/>
      <c r="G121" s="2195"/>
      <c r="H121" s="2196" t="str">
        <f>IF(A119="","",INDEX(DIFFERENTIATION_UNMERGE_SYSTEM,MATCH(A119,DIFFERENTIATION_ID_DIFF,0)))</f>
        <v/>
      </c>
      <c r="I121" s="2196"/>
      <c r="J121" s="2196"/>
      <c r="K121" s="2196"/>
      <c r="L121" s="2196"/>
      <c r="M121" s="2196"/>
      <c r="N121" s="2196"/>
      <c r="O121" s="2196"/>
      <c r="P121" s="2196"/>
      <c r="Q121" s="2196"/>
      <c r="R121" s="2196"/>
      <c r="S121" s="546"/>
      <c r="T121" s="543"/>
      <c r="U121" s="466"/>
      <c r="V121" s="466"/>
      <c r="W121" s="467"/>
      <c r="X121" s="467"/>
      <c r="Y121" s="467"/>
      <c r="Z121" s="467"/>
      <c r="AA121" s="468"/>
      <c r="AB121" s="469"/>
      <c r="AC121" s="2205"/>
      <c r="AD121" s="470"/>
      <c r="AE121" s="471"/>
      <c r="AF121" s="471"/>
      <c r="AG121" s="472"/>
      <c r="AH121" s="473"/>
      <c r="AI121" s="466"/>
      <c r="AJ121" s="466"/>
      <c r="AK121" s="466"/>
      <c r="AL121" s="466"/>
      <c r="AM121" s="466"/>
      <c r="AN121" s="466"/>
      <c r="AO121" s="466"/>
      <c r="AP121" s="466"/>
      <c r="AQ121" s="466"/>
      <c r="AR121" s="466"/>
      <c r="AS121" s="466"/>
      <c r="AT121" s="466"/>
      <c r="AU121" s="466"/>
      <c r="AV121" s="466"/>
      <c r="AW121" s="466"/>
      <c r="AX121" s="466"/>
      <c r="AY121" s="466"/>
      <c r="AZ121" s="466"/>
      <c r="BA121" s="466"/>
      <c r="BB121" s="466"/>
      <c r="BC121" s="466"/>
      <c r="BD121" s="466"/>
      <c r="BE121" s="466"/>
      <c r="BF121" s="466"/>
      <c r="BG121" s="466"/>
      <c r="BH121" s="466"/>
      <c r="BI121" s="466"/>
      <c r="BJ121" s="466"/>
      <c r="BK121" s="466"/>
      <c r="BL121" s="466"/>
      <c r="BM121" s="466"/>
      <c r="BN121" s="466"/>
      <c r="BO121" s="466"/>
      <c r="BP121" s="466"/>
      <c r="BQ121" s="466"/>
      <c r="BR121" s="466"/>
      <c r="BS121" s="466"/>
      <c r="BT121" s="466"/>
      <c r="BU121" s="466"/>
      <c r="BV121" s="467"/>
      <c r="BW121" s="467"/>
      <c r="BX121" s="467"/>
      <c r="BY121" s="467"/>
      <c r="BZ121" s="467"/>
      <c r="CA121" s="467"/>
      <c r="CB121" s="467"/>
      <c r="CC121" s="467"/>
      <c r="CD121" s="467"/>
      <c r="CE121" s="467"/>
    </row>
    <row r="122" spans="1:83" s="1633" customFormat="1" ht="24.75" hidden="1" customHeight="1">
      <c r="A122" s="1538"/>
      <c r="B122" s="929"/>
      <c r="C122" s="293"/>
      <c r="D122" s="2203"/>
      <c r="E122" s="2201" t="s">
        <v>528</v>
      </c>
      <c r="F122" s="2201"/>
      <c r="G122" s="2201"/>
      <c r="H122" s="2201"/>
      <c r="I122" s="2201"/>
      <c r="J122" s="2201"/>
      <c r="K122" s="2201"/>
      <c r="L122" s="2201"/>
      <c r="M122" s="2201"/>
      <c r="N122" s="2201"/>
      <c r="O122" s="2201"/>
      <c r="P122" s="2201"/>
      <c r="Q122" s="416">
        <f>SUMIF(T123:T124,"i",Q123:Q124)</f>
        <v>0</v>
      </c>
      <c r="R122" s="800"/>
      <c r="S122" s="1530" t="s">
        <v>529</v>
      </c>
      <c r="T122" s="544" t="s">
        <v>530</v>
      </c>
      <c r="U122" s="2115">
        <v>1</v>
      </c>
      <c r="V122" s="2115" t="s">
        <v>493</v>
      </c>
      <c r="W122" s="929"/>
      <c r="X122" s="929"/>
      <c r="Y122" s="929"/>
      <c r="Z122" s="929"/>
      <c r="AA122" s="1406"/>
      <c r="AB122" s="929"/>
      <c r="AC122" s="2205"/>
      <c r="AD122" s="470"/>
      <c r="AE122" s="929"/>
      <c r="AF122" s="929"/>
      <c r="AG122" s="1406"/>
      <c r="AH122" s="1406"/>
      <c r="AI122" s="1406"/>
      <c r="AJ122" s="1406"/>
      <c r="AK122" s="1406"/>
      <c r="AL122" s="1406"/>
      <c r="AM122" s="1406"/>
      <c r="AN122" s="1406"/>
      <c r="AO122" s="1406"/>
      <c r="AP122" s="1406"/>
      <c r="AQ122" s="1406"/>
      <c r="AR122" s="1406"/>
      <c r="AS122" s="1406"/>
      <c r="AT122" s="1406"/>
      <c r="AU122" s="1406"/>
      <c r="AV122" s="1406"/>
      <c r="AW122" s="1406"/>
      <c r="AX122" s="1406"/>
      <c r="AY122" s="1406"/>
      <c r="AZ122" s="1406"/>
      <c r="BA122" s="1406"/>
      <c r="BB122" s="1406"/>
      <c r="BC122" s="1406"/>
      <c r="BD122" s="1406"/>
      <c r="BE122" s="1406"/>
      <c r="BF122" s="1406"/>
      <c r="BG122" s="1406"/>
      <c r="BH122" s="1406"/>
      <c r="BI122" s="1406"/>
      <c r="BJ122" s="1406"/>
      <c r="BK122" s="1406"/>
      <c r="BL122" s="1406"/>
      <c r="BM122" s="1406"/>
      <c r="BN122" s="1406"/>
      <c r="BO122" s="1406"/>
      <c r="BP122" s="1406"/>
      <c r="BQ122" s="1406"/>
      <c r="BR122" s="1406"/>
      <c r="BS122" s="1406"/>
      <c r="BT122" s="1406"/>
      <c r="BU122" s="1406"/>
      <c r="BV122" s="929"/>
      <c r="BW122" s="929"/>
      <c r="BX122" s="929"/>
      <c r="BY122" s="929"/>
      <c r="BZ122" s="929"/>
      <c r="CA122" s="929"/>
      <c r="CB122" s="929"/>
      <c r="CC122" s="929"/>
      <c r="CD122" s="929"/>
      <c r="CE122" s="929"/>
    </row>
    <row r="123" spans="1:83" s="1633" customFormat="1" ht="11.25" hidden="1" customHeight="1">
      <c r="A123" s="1525"/>
      <c r="B123" s="1406"/>
      <c r="C123" s="1406"/>
      <c r="D123" s="2203"/>
      <c r="E123" s="476"/>
      <c r="F123" s="476">
        <v>0</v>
      </c>
      <c r="G123" s="476"/>
      <c r="H123" s="476"/>
      <c r="I123" s="476"/>
      <c r="J123" s="476"/>
      <c r="K123" s="476"/>
      <c r="L123" s="476"/>
      <c r="M123" s="476"/>
      <c r="N123" s="476"/>
      <c r="O123" s="476"/>
      <c r="P123" s="476"/>
      <c r="Q123" s="476"/>
      <c r="R123" s="476"/>
      <c r="S123" s="477"/>
      <c r="T123" s="545"/>
      <c r="U123" s="2115"/>
      <c r="V123" s="2115"/>
      <c r="W123" s="1406"/>
      <c r="X123" s="1406"/>
      <c r="Y123" s="1406"/>
      <c r="Z123" s="1406"/>
      <c r="AA123" s="1406"/>
      <c r="AB123" s="929"/>
      <c r="AC123" s="2205"/>
      <c r="AD123" s="470"/>
      <c r="AE123" s="929"/>
      <c r="AF123" s="929"/>
      <c r="AG123" s="1406"/>
      <c r="AH123" s="1406"/>
      <c r="AI123" s="1406"/>
      <c r="AJ123" s="1406"/>
      <c r="AK123" s="1406"/>
      <c r="AL123" s="1406"/>
      <c r="AM123" s="1406"/>
      <c r="AN123" s="1406"/>
      <c r="AO123" s="1406"/>
      <c r="AP123" s="1406"/>
      <c r="AQ123" s="1406"/>
      <c r="AR123" s="1406"/>
      <c r="AS123" s="1406"/>
      <c r="AT123" s="1406"/>
      <c r="AU123" s="1406"/>
      <c r="AV123" s="1406"/>
      <c r="AW123" s="1406"/>
      <c r="AX123" s="1406"/>
      <c r="AY123" s="1406"/>
      <c r="AZ123" s="1406"/>
      <c r="BA123" s="1406"/>
      <c r="BB123" s="1406"/>
      <c r="BC123" s="1406"/>
      <c r="BD123" s="1406"/>
      <c r="BE123" s="1406"/>
      <c r="BF123" s="1406"/>
      <c r="BG123" s="1406"/>
      <c r="BH123" s="1406"/>
      <c r="BI123" s="1406"/>
      <c r="BJ123" s="1406"/>
      <c r="BK123" s="1406"/>
      <c r="BL123" s="1406"/>
      <c r="BM123" s="1406"/>
      <c r="BN123" s="1406"/>
      <c r="BO123" s="1406"/>
      <c r="BP123" s="1406"/>
      <c r="BQ123" s="1406"/>
      <c r="BR123" s="1406"/>
      <c r="BS123" s="1406"/>
      <c r="BT123" s="1406"/>
      <c r="BU123" s="1406"/>
      <c r="BV123" s="1406"/>
      <c r="BW123" s="1406"/>
      <c r="BX123" s="1406"/>
      <c r="BY123" s="1406"/>
      <c r="BZ123" s="1406"/>
      <c r="CA123" s="1406"/>
      <c r="CB123" s="1406"/>
      <c r="CC123" s="1406"/>
      <c r="CD123" s="1406"/>
      <c r="CE123" s="1406"/>
    </row>
    <row r="124" spans="1:83" s="1633" customFormat="1" ht="11.25" hidden="1" customHeight="1">
      <c r="A124" s="1538"/>
      <c r="B124" s="929"/>
      <c r="C124" s="293"/>
      <c r="D124" s="2203"/>
      <c r="E124" s="490" t="s">
        <v>1</v>
      </c>
      <c r="F124" s="936" t="s">
        <v>1</v>
      </c>
      <c r="G124" s="936" t="s">
        <v>533</v>
      </c>
      <c r="H124" s="492" t="s">
        <v>1</v>
      </c>
      <c r="I124" s="492"/>
      <c r="J124" s="492"/>
      <c r="K124" s="492"/>
      <c r="L124" s="492"/>
      <c r="M124" s="492"/>
      <c r="N124" s="492"/>
      <c r="O124" s="492"/>
      <c r="P124" s="492"/>
      <c r="Q124" s="492"/>
      <c r="R124" s="493"/>
      <c r="S124" s="494"/>
      <c r="T124" s="545"/>
      <c r="U124" s="2115"/>
      <c r="V124" s="2115"/>
      <c r="W124" s="929"/>
      <c r="X124" s="929"/>
      <c r="Y124" s="929"/>
      <c r="Z124" s="929"/>
      <c r="AA124" s="1406"/>
      <c r="AB124" s="929"/>
      <c r="AC124" s="2205"/>
      <c r="AD124" s="470"/>
      <c r="AE124" s="929"/>
      <c r="AF124" s="929"/>
      <c r="AG124" s="1406"/>
      <c r="AH124" s="1406"/>
      <c r="AI124" s="1406"/>
      <c r="AJ124" s="1406"/>
      <c r="AK124" s="1406"/>
      <c r="AL124" s="1406"/>
      <c r="AM124" s="1406"/>
      <c r="AN124" s="1406"/>
      <c r="AO124" s="1406"/>
      <c r="AP124" s="1406"/>
      <c r="AQ124" s="1406"/>
      <c r="AR124" s="1406"/>
      <c r="AS124" s="1406"/>
      <c r="AT124" s="1406"/>
      <c r="AU124" s="1406"/>
      <c r="AV124" s="1406"/>
      <c r="AW124" s="1406"/>
      <c r="AX124" s="1406"/>
      <c r="AY124" s="1406"/>
      <c r="AZ124" s="1406"/>
      <c r="BA124" s="1406"/>
      <c r="BB124" s="1406"/>
      <c r="BC124" s="1406"/>
      <c r="BD124" s="1406"/>
      <c r="BE124" s="1406"/>
      <c r="BF124" s="1406"/>
      <c r="BG124" s="1406"/>
      <c r="BH124" s="1406"/>
      <c r="BI124" s="1406"/>
      <c r="BJ124" s="1406"/>
      <c r="BK124" s="1406"/>
      <c r="BL124" s="1406"/>
      <c r="BM124" s="1406"/>
      <c r="BN124" s="1406"/>
      <c r="BO124" s="1406"/>
      <c r="BP124" s="1406"/>
      <c r="BQ124" s="1406"/>
      <c r="BR124" s="1406"/>
      <c r="BS124" s="1406"/>
      <c r="BT124" s="1406"/>
      <c r="BU124" s="1406"/>
      <c r="BV124" s="929"/>
      <c r="BW124" s="929"/>
      <c r="BX124" s="929"/>
      <c r="BY124" s="929"/>
      <c r="BZ124" s="929"/>
      <c r="CA124" s="929"/>
      <c r="CB124" s="929"/>
      <c r="CC124" s="929"/>
      <c r="CD124" s="929"/>
      <c r="CE124" s="929"/>
    </row>
    <row r="125" spans="1:83" s="1634" customFormat="1" ht="5.25" hidden="1" customHeight="1">
      <c r="A125" s="1525"/>
      <c r="B125" s="1406"/>
      <c r="C125" s="1406"/>
      <c r="D125" s="2203"/>
      <c r="E125" s="822"/>
      <c r="F125" s="822"/>
      <c r="G125" s="822"/>
      <c r="H125" s="822"/>
      <c r="I125" s="822"/>
      <c r="J125" s="822"/>
      <c r="K125" s="822"/>
      <c r="L125" s="822"/>
      <c r="M125" s="822"/>
      <c r="N125" s="822"/>
      <c r="O125" s="822"/>
      <c r="P125" s="822"/>
      <c r="Q125" s="823"/>
      <c r="R125" s="824"/>
      <c r="S125" s="825"/>
      <c r="T125" s="544" t="s">
        <v>530</v>
      </c>
      <c r="U125" s="2115">
        <v>1</v>
      </c>
      <c r="V125" s="2115" t="s">
        <v>493</v>
      </c>
      <c r="W125" s="1406"/>
      <c r="X125" s="1406"/>
      <c r="Y125" s="1406"/>
      <c r="Z125" s="1406"/>
      <c r="AA125" s="1406"/>
      <c r="AB125" s="1406"/>
      <c r="AC125" s="820"/>
      <c r="AD125" s="821"/>
      <c r="AE125" s="1406"/>
      <c r="AF125" s="1406"/>
      <c r="AG125" s="1406"/>
      <c r="AH125" s="1406"/>
      <c r="AI125" s="1406"/>
      <c r="AJ125" s="1406"/>
      <c r="AK125" s="1406"/>
      <c r="AL125" s="1406"/>
      <c r="AM125" s="1406"/>
      <c r="AN125" s="1406"/>
      <c r="AO125" s="1406"/>
      <c r="AP125" s="1406"/>
      <c r="AQ125" s="1406"/>
      <c r="AR125" s="1406"/>
      <c r="AS125" s="1406"/>
      <c r="AT125" s="1406"/>
      <c r="AU125" s="1406"/>
      <c r="AV125" s="1406"/>
      <c r="AW125" s="1406"/>
      <c r="AX125" s="1406"/>
      <c r="AY125" s="1406"/>
      <c r="AZ125" s="1406"/>
      <c r="BA125" s="1406"/>
      <c r="BB125" s="1406"/>
      <c r="BC125" s="1406"/>
      <c r="BD125" s="1406"/>
      <c r="BE125" s="1406"/>
      <c r="BF125" s="1406"/>
      <c r="BG125" s="1406"/>
      <c r="BH125" s="1406"/>
      <c r="BI125" s="1406"/>
      <c r="BJ125" s="1406"/>
      <c r="BK125" s="1406"/>
      <c r="BL125" s="1406"/>
      <c r="BM125" s="1406"/>
      <c r="BN125" s="1406"/>
      <c r="BO125" s="1406"/>
      <c r="BP125" s="1406"/>
      <c r="BQ125" s="1406"/>
      <c r="BR125" s="1406"/>
      <c r="BS125" s="1406"/>
      <c r="BT125" s="1406"/>
      <c r="BU125" s="1406"/>
      <c r="BV125" s="1406"/>
      <c r="BW125" s="1406"/>
      <c r="BX125" s="1406"/>
      <c r="BY125" s="1406"/>
      <c r="BZ125" s="1406"/>
      <c r="CA125" s="1406"/>
      <c r="CB125" s="1406"/>
      <c r="CC125" s="1406"/>
      <c r="CD125" s="1406"/>
      <c r="CE125" s="1406"/>
    </row>
    <row r="126" spans="1:83" s="1634" customFormat="1" ht="5.25" hidden="1" customHeight="1">
      <c r="A126" s="1525"/>
      <c r="B126" s="1406"/>
      <c r="C126" s="1406"/>
      <c r="D126" s="2203"/>
      <c r="E126" s="476"/>
      <c r="F126" s="476"/>
      <c r="G126" s="476"/>
      <c r="H126" s="476"/>
      <c r="I126" s="476"/>
      <c r="J126" s="476"/>
      <c r="K126" s="476"/>
      <c r="L126" s="476"/>
      <c r="M126" s="476"/>
      <c r="N126" s="476"/>
      <c r="O126" s="476"/>
      <c r="P126" s="476"/>
      <c r="Q126" s="476"/>
      <c r="R126" s="476"/>
      <c r="S126" s="477"/>
      <c r="T126" s="545"/>
      <c r="U126" s="2115"/>
      <c r="V126" s="2115"/>
      <c r="W126" s="1406"/>
      <c r="X126" s="1406"/>
      <c r="Y126" s="1406"/>
      <c r="Z126" s="1406"/>
      <c r="AA126" s="1406"/>
      <c r="AB126" s="1406"/>
      <c r="AC126" s="820"/>
      <c r="AD126" s="821"/>
      <c r="AE126" s="1406"/>
      <c r="AF126" s="1406"/>
      <c r="AG126" s="1406"/>
      <c r="AH126" s="1406"/>
      <c r="AI126" s="1406"/>
      <c r="AJ126" s="1406"/>
      <c r="AK126" s="1406"/>
      <c r="AL126" s="1406"/>
      <c r="AM126" s="1406"/>
      <c r="AN126" s="1406"/>
      <c r="AO126" s="1406"/>
      <c r="AP126" s="1406"/>
      <c r="AQ126" s="1406"/>
      <c r="AR126" s="1406"/>
      <c r="AS126" s="1406"/>
      <c r="AT126" s="1406"/>
      <c r="AU126" s="1406"/>
      <c r="AV126" s="1406"/>
      <c r="AW126" s="1406"/>
      <c r="AX126" s="1406"/>
      <c r="AY126" s="1406"/>
      <c r="AZ126" s="1406"/>
      <c r="BA126" s="1406"/>
      <c r="BB126" s="1406"/>
      <c r="BC126" s="1406"/>
      <c r="BD126" s="1406"/>
      <c r="BE126" s="1406"/>
      <c r="BF126" s="1406"/>
      <c r="BG126" s="1406"/>
      <c r="BH126" s="1406"/>
      <c r="BI126" s="1406"/>
      <c r="BJ126" s="1406"/>
      <c r="BK126" s="1406"/>
      <c r="BL126" s="1406"/>
      <c r="BM126" s="1406"/>
      <c r="BN126" s="1406"/>
      <c r="BO126" s="1406"/>
      <c r="BP126" s="1406"/>
      <c r="BQ126" s="1406"/>
      <c r="BR126" s="1406"/>
      <c r="BS126" s="1406"/>
      <c r="BT126" s="1406"/>
      <c r="BU126" s="1406"/>
      <c r="BV126" s="1406"/>
      <c r="BW126" s="1406"/>
      <c r="BX126" s="1406"/>
      <c r="BY126" s="1406"/>
      <c r="BZ126" s="1406"/>
      <c r="CA126" s="1406"/>
      <c r="CB126" s="1406"/>
      <c r="CC126" s="1406"/>
      <c r="CD126" s="1406"/>
      <c r="CE126" s="1406"/>
    </row>
    <row r="127" spans="1:83" s="1634" customFormat="1" ht="5.25" hidden="1" customHeight="1">
      <c r="A127" s="1525"/>
      <c r="B127" s="1406"/>
      <c r="C127" s="1406"/>
      <c r="D127" s="2204"/>
      <c r="E127" s="826"/>
      <c r="F127" s="827"/>
      <c r="G127" s="827"/>
      <c r="H127" s="828"/>
      <c r="I127" s="828"/>
      <c r="J127" s="828"/>
      <c r="K127" s="828"/>
      <c r="L127" s="828"/>
      <c r="M127" s="828"/>
      <c r="N127" s="828"/>
      <c r="O127" s="828"/>
      <c r="P127" s="828"/>
      <c r="Q127" s="828"/>
      <c r="R127" s="731"/>
      <c r="S127" s="829"/>
      <c r="T127" s="545"/>
      <c r="U127" s="2115"/>
      <c r="V127" s="2115"/>
      <c r="W127" s="1406"/>
      <c r="X127" s="1406"/>
      <c r="Y127" s="1406"/>
      <c r="Z127" s="1406"/>
      <c r="AA127" s="1406"/>
      <c r="AB127" s="1406"/>
      <c r="AC127" s="820"/>
      <c r="AD127" s="821"/>
      <c r="AE127" s="1406"/>
      <c r="AF127" s="1406"/>
      <c r="AG127" s="1406"/>
      <c r="AH127" s="1406"/>
      <c r="AI127" s="1406"/>
      <c r="AJ127" s="1406"/>
      <c r="AK127" s="1406"/>
      <c r="AL127" s="1406"/>
      <c r="AM127" s="1406"/>
      <c r="AN127" s="1406"/>
      <c r="AO127" s="1406"/>
      <c r="AP127" s="1406"/>
      <c r="AQ127" s="1406"/>
      <c r="AR127" s="1406"/>
      <c r="AS127" s="1406"/>
      <c r="AT127" s="1406"/>
      <c r="AU127" s="1406"/>
      <c r="AV127" s="1406"/>
      <c r="AW127" s="1406"/>
      <c r="AX127" s="1406"/>
      <c r="AY127" s="1406"/>
      <c r="AZ127" s="1406"/>
      <c r="BA127" s="1406"/>
      <c r="BB127" s="1406"/>
      <c r="BC127" s="1406"/>
      <c r="BD127" s="1406"/>
      <c r="BE127" s="1406"/>
      <c r="BF127" s="1406"/>
      <c r="BG127" s="1406"/>
      <c r="BH127" s="1406"/>
      <c r="BI127" s="1406"/>
      <c r="BJ127" s="1406"/>
      <c r="BK127" s="1406"/>
      <c r="BL127" s="1406"/>
      <c r="BM127" s="1406"/>
      <c r="BN127" s="1406"/>
      <c r="BO127" s="1406"/>
      <c r="BP127" s="1406"/>
      <c r="BQ127" s="1406"/>
      <c r="BR127" s="1406"/>
      <c r="BS127" s="1406"/>
      <c r="BT127" s="1406"/>
      <c r="BU127" s="1406"/>
      <c r="BV127" s="1406"/>
      <c r="BW127" s="1406"/>
      <c r="BX127" s="1406"/>
      <c r="BY127" s="1406"/>
      <c r="BZ127" s="1406"/>
      <c r="CA127" s="1406"/>
      <c r="CB127" s="1406"/>
      <c r="CC127" s="1406"/>
      <c r="CD127" s="1406"/>
      <c r="CE127" s="1406"/>
    </row>
    <row r="128" spans="1:83" ht="17.25" customHeight="1">
      <c r="D128" s="1566"/>
    </row>
    <row r="129" spans="1:29" s="1832" customFormat="1" ht="11.25" customHeight="1">
      <c r="A129" s="1547" t="s">
        <v>1080</v>
      </c>
    </row>
    <row r="131" spans="1:29" s="1633" customFormat="1" ht="45" customHeight="1">
      <c r="A131" s="1538"/>
      <c r="B131" s="929"/>
      <c r="C131" s="293"/>
      <c r="D131" s="11"/>
      <c r="E131" s="2334"/>
      <c r="F131" s="2212" t="s">
        <v>43</v>
      </c>
      <c r="G131" s="2337" t="s">
        <v>1</v>
      </c>
      <c r="H131" s="165"/>
      <c r="I131" s="478" t="s">
        <v>43</v>
      </c>
      <c r="J131" s="1539" t="s">
        <v>1081</v>
      </c>
      <c r="K131" s="479" t="s">
        <v>464</v>
      </c>
      <c r="L131" s="2074" t="s">
        <v>464</v>
      </c>
      <c r="M131" s="2034"/>
      <c r="N131" s="479" t="s">
        <v>464</v>
      </c>
      <c r="O131" s="479" t="s">
        <v>464</v>
      </c>
      <c r="P131" s="479" t="s">
        <v>464</v>
      </c>
      <c r="Q131" s="480">
        <f>SUM(Q132:Q134)</f>
        <v>0</v>
      </c>
      <c r="R131" s="480">
        <f>IF(R128=0,0,(Q128/R128)*100)</f>
        <v>0</v>
      </c>
      <c r="S131" s="2046"/>
      <c r="T131" s="544" t="s">
        <v>530</v>
      </c>
      <c r="U131" s="11"/>
      <c r="V131" s="11"/>
      <c r="AC131" s="11"/>
    </row>
    <row r="132" spans="1:29" s="1633" customFormat="1" ht="11.25" customHeight="1">
      <c r="A132" s="1538"/>
      <c r="B132" s="929"/>
      <c r="C132" s="293"/>
      <c r="D132" s="11"/>
      <c r="E132" s="2335"/>
      <c r="F132" s="2212"/>
      <c r="G132" s="2337"/>
      <c r="H132" s="2025"/>
      <c r="I132" s="2254" t="s">
        <v>856</v>
      </c>
      <c r="J132" s="2332"/>
      <c r="K132" s="2333"/>
      <c r="L132" s="481"/>
      <c r="M132" s="482" t="s">
        <v>43</v>
      </c>
      <c r="N132" s="1527"/>
      <c r="O132" s="483"/>
      <c r="P132" s="484"/>
      <c r="Q132" s="483"/>
      <c r="R132" s="485">
        <v>0</v>
      </c>
      <c r="S132" s="2046"/>
      <c r="T132" s="544"/>
      <c r="U132" s="11"/>
      <c r="V132" s="11"/>
      <c r="AC132" s="11"/>
    </row>
    <row r="133" spans="1:29" s="1633" customFormat="1" ht="11.25" customHeight="1">
      <c r="A133" s="1538"/>
      <c r="B133" s="929"/>
      <c r="C133" s="293"/>
      <c r="D133" s="11"/>
      <c r="E133" s="2335"/>
      <c r="F133" s="2212"/>
      <c r="G133" s="2337"/>
      <c r="H133" s="2025"/>
      <c r="I133" s="2254"/>
      <c r="J133" s="2332"/>
      <c r="K133" s="2324"/>
      <c r="L133" s="486"/>
      <c r="M133" s="487"/>
      <c r="N133" s="488" t="s">
        <v>1082</v>
      </c>
      <c r="O133" s="488"/>
      <c r="P133" s="488"/>
      <c r="Q133" s="488"/>
      <c r="R133" s="489"/>
      <c r="S133" s="2046"/>
      <c r="T133" s="544"/>
      <c r="U133" s="11"/>
      <c r="V133" s="11"/>
      <c r="AC133" s="11"/>
    </row>
    <row r="134" spans="1:29" s="1633" customFormat="1" ht="11.25" customHeight="1">
      <c r="A134" s="1538"/>
      <c r="B134" s="929"/>
      <c r="C134" s="293"/>
      <c r="D134" s="11"/>
      <c r="E134" s="2336"/>
      <c r="F134" s="2212"/>
      <c r="G134" s="2338"/>
      <c r="H134" s="486" t="s">
        <v>1</v>
      </c>
      <c r="I134" s="487"/>
      <c r="J134" s="488" t="s">
        <v>1083</v>
      </c>
      <c r="K134" s="488"/>
      <c r="L134" s="488"/>
      <c r="M134" s="488"/>
      <c r="N134" s="488"/>
      <c r="O134" s="488"/>
      <c r="P134" s="488"/>
      <c r="Q134" s="488"/>
      <c r="R134" s="489"/>
      <c r="S134" s="2046"/>
      <c r="T134" s="544"/>
      <c r="U134" s="11"/>
      <c r="V134" s="11"/>
      <c r="AC134" s="11"/>
    </row>
    <row r="139" spans="1:29" s="1633" customFormat="1" ht="11.25" customHeight="1">
      <c r="A139" s="1538"/>
      <c r="B139" s="929"/>
      <c r="C139" s="293"/>
      <c r="D139" s="11"/>
      <c r="E139" s="1560"/>
      <c r="F139" s="1560"/>
      <c r="G139" s="1560"/>
      <c r="H139" s="2025"/>
      <c r="I139" s="2254" t="s">
        <v>856</v>
      </c>
      <c r="J139" s="2332"/>
      <c r="K139" s="2333"/>
      <c r="L139" s="481"/>
      <c r="M139" s="482" t="s">
        <v>43</v>
      </c>
      <c r="N139" s="1527"/>
      <c r="O139" s="483"/>
      <c r="P139" s="484"/>
      <c r="Q139" s="483"/>
      <c r="R139" s="485">
        <v>0</v>
      </c>
      <c r="S139" s="11"/>
      <c r="T139" s="544"/>
      <c r="U139" s="11"/>
      <c r="V139" s="11"/>
      <c r="AC139" s="11"/>
    </row>
    <row r="140" spans="1:29" s="1633" customFormat="1" ht="11.25" customHeight="1">
      <c r="A140" s="1538"/>
      <c r="B140" s="929"/>
      <c r="C140" s="293"/>
      <c r="D140" s="11"/>
      <c r="E140" s="1560"/>
      <c r="F140" s="1560"/>
      <c r="G140" s="1560"/>
      <c r="H140" s="2025"/>
      <c r="I140" s="2254"/>
      <c r="J140" s="2332"/>
      <c r="K140" s="2324"/>
      <c r="L140" s="486"/>
      <c r="M140" s="487"/>
      <c r="N140" s="488" t="s">
        <v>1082</v>
      </c>
      <c r="O140" s="488"/>
      <c r="P140" s="488"/>
      <c r="Q140" s="488"/>
      <c r="R140" s="489"/>
      <c r="S140" s="11"/>
      <c r="T140" s="544"/>
      <c r="U140" s="11"/>
      <c r="V140" s="11"/>
      <c r="AC140" s="11"/>
    </row>
    <row r="142" spans="1:29" s="1633" customFormat="1" ht="11.25" customHeight="1">
      <c r="A142" s="1538"/>
      <c r="B142" s="929"/>
      <c r="C142" s="293"/>
      <c r="D142" s="11"/>
      <c r="E142" s="1567"/>
      <c r="F142" s="1565"/>
      <c r="G142" s="1565"/>
      <c r="H142" s="1568"/>
      <c r="I142" s="1560"/>
      <c r="J142" s="1561"/>
      <c r="K142" s="1561"/>
      <c r="L142" s="481"/>
      <c r="M142" s="482" t="s">
        <v>43</v>
      </c>
      <c r="N142" s="1527"/>
      <c r="O142" s="483"/>
      <c r="P142" s="484"/>
      <c r="Q142" s="483"/>
      <c r="R142" s="485">
        <v>0</v>
      </c>
      <c r="S142" s="11"/>
      <c r="T142" s="544"/>
      <c r="U142" s="11"/>
      <c r="V142" s="11"/>
      <c r="AC142" s="11"/>
    </row>
    <row r="144" spans="1:29" s="1832" customFormat="1" ht="17.25" customHeight="1">
      <c r="A144" s="1547" t="s">
        <v>1084</v>
      </c>
    </row>
    <row r="145" spans="1:43" ht="17.25" customHeight="1">
      <c r="G145" s="1569"/>
      <c r="H145" s="1569"/>
      <c r="I145" s="1569"/>
      <c r="M145" s="1565"/>
    </row>
    <row r="146" spans="1:43" s="1835" customFormat="1" ht="17.25" customHeight="1">
      <c r="A146" s="1570"/>
      <c r="C146" s="1572"/>
      <c r="D146" s="2321"/>
      <c r="E146" s="2000"/>
      <c r="F146" s="2002"/>
      <c r="G146" s="2325"/>
      <c r="H146" s="2321"/>
      <c r="I146" s="2321">
        <v>1</v>
      </c>
      <c r="J146" s="2341"/>
      <c r="K146" s="2049" t="s">
        <v>16</v>
      </c>
      <c r="L146" s="2212"/>
      <c r="M146" s="2212" t="s">
        <v>43</v>
      </c>
      <c r="N146" s="2339" t="str">
        <f>IF(Z146="","",INDEX(TERRITORY_MR_LIST,MATCH(Z146,TERRITORY_LIST_ID,0)))</f>
        <v/>
      </c>
      <c r="O146" s="2049" t="s">
        <v>16</v>
      </c>
      <c r="P146" s="2212"/>
      <c r="Q146" s="2212" t="s">
        <v>43</v>
      </c>
      <c r="R146" s="2324" t="s">
        <v>1</v>
      </c>
      <c r="S146" s="2109" t="s">
        <v>16</v>
      </c>
      <c r="T146" s="1543"/>
      <c r="U146" s="1543" t="s">
        <v>43</v>
      </c>
      <c r="V146" s="1573" t="s">
        <v>1</v>
      </c>
      <c r="W146" s="1533"/>
      <c r="Y146" s="1050"/>
      <c r="Z146" s="1050"/>
      <c r="AA146" s="1050"/>
      <c r="AB146" s="1050"/>
      <c r="AC146" s="1050"/>
      <c r="AD146" s="1050"/>
      <c r="AE146" s="1050"/>
      <c r="AF146" s="1050"/>
      <c r="AG146" s="1050"/>
      <c r="AH146" s="1050"/>
      <c r="AI146" s="1050"/>
      <c r="AJ146" s="1050"/>
      <c r="AK146" s="1050"/>
      <c r="AL146" s="1574"/>
      <c r="AM146" s="1574"/>
      <c r="AN146" s="1050"/>
      <c r="AO146" s="1050"/>
      <c r="AP146" s="1050"/>
      <c r="AQ146" s="1050"/>
    </row>
    <row r="147" spans="1:43" s="1835" customFormat="1" ht="17.25" customHeight="1">
      <c r="A147" s="1570"/>
      <c r="C147" s="1575"/>
      <c r="D147" s="2321"/>
      <c r="E147" s="2000"/>
      <c r="F147" s="2003"/>
      <c r="G147" s="2325"/>
      <c r="H147" s="2321"/>
      <c r="I147" s="2321"/>
      <c r="J147" s="2341"/>
      <c r="K147" s="2050"/>
      <c r="L147" s="2212"/>
      <c r="M147" s="2212"/>
      <c r="N147" s="2339"/>
      <c r="O147" s="2050"/>
      <c r="P147" s="2212"/>
      <c r="Q147" s="2212"/>
      <c r="R147" s="2324"/>
      <c r="S147" s="2109"/>
      <c r="T147" s="197"/>
      <c r="U147" s="198"/>
      <c r="V147" s="198" t="s">
        <v>340</v>
      </c>
      <c r="W147" s="199"/>
      <c r="Y147" s="1046"/>
      <c r="Z147" s="1046"/>
      <c r="AA147" s="1046"/>
      <c r="AB147" s="1046"/>
      <c r="AC147" s="1046"/>
      <c r="AD147" s="1046"/>
      <c r="AE147" s="1046"/>
      <c r="AF147" s="1046"/>
      <c r="AG147" s="1046"/>
      <c r="AH147" s="1046"/>
      <c r="AI147" s="1046"/>
      <c r="AJ147" s="1046"/>
      <c r="AK147" s="1046"/>
    </row>
    <row r="148" spans="1:43" s="1835" customFormat="1" ht="17.25" customHeight="1">
      <c r="A148" s="1570"/>
      <c r="C148" s="1575"/>
      <c r="D148" s="1999"/>
      <c r="E148" s="2001"/>
      <c r="F148" s="2003"/>
      <c r="G148" s="2326"/>
      <c r="H148" s="1999"/>
      <c r="I148" s="1999"/>
      <c r="J148" s="2342"/>
      <c r="K148" s="2050"/>
      <c r="L148" s="1999"/>
      <c r="M148" s="1999"/>
      <c r="N148" s="2340"/>
      <c r="O148" s="2051"/>
      <c r="P148" s="197"/>
      <c r="Q148" s="198"/>
      <c r="R148" s="198" t="s">
        <v>341</v>
      </c>
      <c r="S148" s="1576"/>
      <c r="T148" s="1576"/>
      <c r="U148" s="1576"/>
      <c r="V148" s="1576"/>
      <c r="W148" s="199"/>
      <c r="Y148" s="1046"/>
      <c r="Z148" s="1046"/>
      <c r="AA148" s="1046"/>
      <c r="AB148" s="1046"/>
      <c r="AC148" s="1046"/>
      <c r="AD148" s="1046"/>
      <c r="AE148" s="1046"/>
      <c r="AF148" s="1046"/>
      <c r="AG148" s="1046"/>
      <c r="AH148" s="1046"/>
      <c r="AI148" s="1046"/>
      <c r="AJ148" s="1046"/>
      <c r="AK148" s="1046"/>
    </row>
    <row r="149" spans="1:43" s="1835" customFormat="1" ht="17.25" customHeight="1">
      <c r="A149" s="1570"/>
      <c r="C149" s="1575"/>
      <c r="D149" s="1999"/>
      <c r="E149" s="2001"/>
      <c r="F149" s="2003"/>
      <c r="G149" s="2326"/>
      <c r="H149" s="1999"/>
      <c r="I149" s="1999"/>
      <c r="J149" s="2342"/>
      <c r="K149" s="2051"/>
      <c r="L149" s="197"/>
      <c r="M149" s="198"/>
      <c r="N149" s="198" t="s">
        <v>342</v>
      </c>
      <c r="O149" s="198"/>
      <c r="P149" s="198"/>
      <c r="Q149" s="198"/>
      <c r="R149" s="198"/>
      <c r="S149" s="1576"/>
      <c r="T149" s="1576"/>
      <c r="U149" s="1576"/>
      <c r="V149" s="1576"/>
      <c r="W149" s="199"/>
      <c r="Y149" s="1046"/>
      <c r="Z149" s="1046"/>
      <c r="AA149" s="1046"/>
      <c r="AB149" s="1046"/>
      <c r="AC149" s="1046"/>
      <c r="AD149" s="1046"/>
      <c r="AE149" s="1046"/>
      <c r="AF149" s="1046"/>
      <c r="AG149" s="1046"/>
      <c r="AH149" s="1046"/>
      <c r="AI149" s="1046"/>
      <c r="AJ149" s="1046"/>
      <c r="AK149" s="1046"/>
    </row>
    <row r="150" spans="1:43" s="1835" customFormat="1" ht="17.25" customHeight="1">
      <c r="A150" s="1570"/>
      <c r="C150" s="1575"/>
      <c r="D150" s="1999"/>
      <c r="E150" s="2001"/>
      <c r="F150" s="2004"/>
      <c r="G150" s="2326"/>
      <c r="H150" s="197"/>
      <c r="I150" s="198"/>
      <c r="J150" s="198" t="s">
        <v>374</v>
      </c>
      <c r="K150" s="198"/>
      <c r="L150" s="198"/>
      <c r="M150" s="198"/>
      <c r="N150" s="198"/>
      <c r="O150" s="198"/>
      <c r="P150" s="198"/>
      <c r="Q150" s="198"/>
      <c r="R150" s="198"/>
      <c r="S150" s="1576"/>
      <c r="T150" s="1576"/>
      <c r="U150" s="1576"/>
      <c r="V150" s="1576"/>
      <c r="W150" s="199"/>
      <c r="Y150" s="1046"/>
      <c r="Z150" s="1046"/>
      <c r="AA150" s="1046"/>
      <c r="AB150" s="1046"/>
      <c r="AC150" s="1046"/>
      <c r="AD150" s="1046"/>
      <c r="AE150" s="1046"/>
      <c r="AF150" s="1046"/>
      <c r="AG150" s="1046"/>
      <c r="AH150" s="1046"/>
      <c r="AI150" s="1046"/>
      <c r="AJ150" s="1046"/>
      <c r="AK150" s="1046"/>
    </row>
    <row r="151" spans="1:43" ht="17.25" customHeight="1">
      <c r="G151" s="1569"/>
      <c r="H151" s="1569"/>
      <c r="I151" s="1569"/>
      <c r="M151" s="1565"/>
    </row>
    <row r="152" spans="1:43" s="1835" customFormat="1" ht="17.25" customHeight="1">
      <c r="A152" s="1570"/>
      <c r="C152" s="1572"/>
      <c r="D152" s="1560"/>
      <c r="E152" s="1577"/>
      <c r="F152" s="1516"/>
      <c r="G152" s="1578"/>
      <c r="H152" s="2321"/>
      <c r="I152" s="2321">
        <v>1</v>
      </c>
      <c r="J152" s="2341"/>
      <c r="K152" s="2049" t="s">
        <v>16</v>
      </c>
      <c r="L152" s="2212"/>
      <c r="M152" s="2212" t="s">
        <v>43</v>
      </c>
      <c r="N152" s="2339" t="str">
        <f>IF(Z152="","",INDEX(TERRITORY_MR_LIST,MATCH(Z152,TERRITORY_LIST_ID,0)))</f>
        <v/>
      </c>
      <c r="O152" s="2049" t="s">
        <v>16</v>
      </c>
      <c r="P152" s="2212"/>
      <c r="Q152" s="2212" t="s">
        <v>43</v>
      </c>
      <c r="R152" s="2324" t="s">
        <v>1</v>
      </c>
      <c r="S152" s="2109" t="s">
        <v>16</v>
      </c>
      <c r="T152" s="1543"/>
      <c r="U152" s="1543" t="s">
        <v>43</v>
      </c>
      <c r="V152" s="1573" t="s">
        <v>1</v>
      </c>
      <c r="W152" s="1533"/>
      <c r="Y152" s="1050"/>
      <c r="Z152" s="1050"/>
      <c r="AA152" s="1050"/>
      <c r="AB152" s="1050"/>
      <c r="AC152" s="1050"/>
      <c r="AD152" s="1050"/>
      <c r="AE152" s="1050"/>
      <c r="AF152" s="1050"/>
      <c r="AG152" s="1050"/>
      <c r="AH152" s="1050"/>
      <c r="AI152" s="1050"/>
      <c r="AJ152" s="1050"/>
      <c r="AK152" s="1050"/>
      <c r="AL152" s="1574"/>
      <c r="AM152" s="1574"/>
      <c r="AN152" s="1050"/>
      <c r="AO152" s="1050"/>
      <c r="AP152" s="1050"/>
      <c r="AQ152" s="1050"/>
    </row>
    <row r="153" spans="1:43" s="1835" customFormat="1" ht="17.25" customHeight="1">
      <c r="A153" s="1570"/>
      <c r="C153" s="1575"/>
      <c r="D153" s="1560"/>
      <c r="E153" s="1577"/>
      <c r="F153" s="1516"/>
      <c r="G153" s="1578"/>
      <c r="H153" s="2321"/>
      <c r="I153" s="2321"/>
      <c r="J153" s="2341"/>
      <c r="K153" s="2050"/>
      <c r="L153" s="2212"/>
      <c r="M153" s="2212"/>
      <c r="N153" s="2339"/>
      <c r="O153" s="2050"/>
      <c r="P153" s="2212"/>
      <c r="Q153" s="2212"/>
      <c r="R153" s="2324"/>
      <c r="S153" s="2109"/>
      <c r="T153" s="197"/>
      <c r="U153" s="198"/>
      <c r="V153" s="198" t="s">
        <v>340</v>
      </c>
      <c r="W153" s="199"/>
      <c r="Y153" s="1046"/>
      <c r="Z153" s="1046"/>
      <c r="AA153" s="1046"/>
      <c r="AB153" s="1046"/>
      <c r="AC153" s="1046"/>
      <c r="AD153" s="1046"/>
      <c r="AE153" s="1046"/>
      <c r="AF153" s="1046"/>
      <c r="AG153" s="1046"/>
      <c r="AH153" s="1046"/>
      <c r="AI153" s="1046"/>
      <c r="AJ153" s="1046"/>
      <c r="AK153" s="1046"/>
    </row>
    <row r="154" spans="1:43" s="1835" customFormat="1" ht="17.25" customHeight="1">
      <c r="A154" s="1570"/>
      <c r="C154" s="1575"/>
      <c r="D154" s="1560"/>
      <c r="E154" s="1577"/>
      <c r="F154" s="1516"/>
      <c r="G154" s="1578"/>
      <c r="H154" s="1999"/>
      <c r="I154" s="1999"/>
      <c r="J154" s="2342"/>
      <c r="K154" s="2050"/>
      <c r="L154" s="1999"/>
      <c r="M154" s="1999"/>
      <c r="N154" s="2340"/>
      <c r="O154" s="2051"/>
      <c r="P154" s="197"/>
      <c r="Q154" s="198"/>
      <c r="R154" s="198" t="s">
        <v>341</v>
      </c>
      <c r="S154" s="1576"/>
      <c r="T154" s="1576"/>
      <c r="U154" s="1576"/>
      <c r="V154" s="1576"/>
      <c r="W154" s="199"/>
      <c r="Y154" s="1046"/>
      <c r="Z154" s="1046"/>
      <c r="AA154" s="1046"/>
      <c r="AB154" s="1046"/>
      <c r="AC154" s="1046"/>
      <c r="AD154" s="1046"/>
      <c r="AE154" s="1046"/>
      <c r="AF154" s="1046"/>
      <c r="AG154" s="1046"/>
      <c r="AH154" s="1046"/>
      <c r="AI154" s="1046"/>
      <c r="AJ154" s="1046"/>
      <c r="AK154" s="1046"/>
    </row>
    <row r="155" spans="1:43" s="1835" customFormat="1" ht="17.25" customHeight="1">
      <c r="A155" s="1570"/>
      <c r="C155" s="1575"/>
      <c r="D155" s="1560"/>
      <c r="E155" s="1577"/>
      <c r="F155" s="1516"/>
      <c r="G155" s="1578"/>
      <c r="H155" s="1999"/>
      <c r="I155" s="1999"/>
      <c r="J155" s="2342"/>
      <c r="K155" s="2051"/>
      <c r="L155" s="197"/>
      <c r="M155" s="198"/>
      <c r="N155" s="198" t="s">
        <v>342</v>
      </c>
      <c r="O155" s="198"/>
      <c r="P155" s="198"/>
      <c r="Q155" s="198"/>
      <c r="R155" s="198"/>
      <c r="S155" s="1576"/>
      <c r="T155" s="1576"/>
      <c r="U155" s="1576"/>
      <c r="V155" s="1576"/>
      <c r="W155" s="199"/>
      <c r="Y155" s="1046"/>
      <c r="Z155" s="1046"/>
      <c r="AA155" s="1046"/>
      <c r="AB155" s="1046"/>
      <c r="AC155" s="1046"/>
      <c r="AD155" s="1046"/>
      <c r="AE155" s="1046"/>
      <c r="AF155" s="1046"/>
      <c r="AG155" s="1046"/>
      <c r="AH155" s="1046"/>
      <c r="AI155" s="1046"/>
      <c r="AJ155" s="1046"/>
      <c r="AK155" s="1046"/>
    </row>
    <row r="156" spans="1:43" ht="17.25" customHeight="1">
      <c r="G156" s="1569"/>
      <c r="H156" s="1569"/>
      <c r="I156" s="1569"/>
      <c r="M156" s="1565"/>
    </row>
    <row r="157" spans="1:43" s="1835" customFormat="1" ht="17.25" customHeight="1">
      <c r="A157" s="1570"/>
      <c r="C157" s="1572"/>
      <c r="D157" s="1560"/>
      <c r="E157" s="1577"/>
      <c r="F157" s="1516"/>
      <c r="G157" s="1578"/>
      <c r="H157" s="1560"/>
      <c r="I157" s="1560"/>
      <c r="J157" s="1579"/>
      <c r="K157" s="1498"/>
      <c r="L157" s="2212"/>
      <c r="M157" s="2212" t="s">
        <v>43</v>
      </c>
      <c r="N157" s="2339" t="str">
        <f>IF(Z157="","",INDEX(TERRITORY_MR_LIST,MATCH(Z157,TERRITORY_LIST_ID,0)))</f>
        <v/>
      </c>
      <c r="O157" s="2049" t="s">
        <v>16</v>
      </c>
      <c r="P157" s="2212"/>
      <c r="Q157" s="2212" t="s">
        <v>43</v>
      </c>
      <c r="R157" s="2324" t="s">
        <v>1</v>
      </c>
      <c r="S157" s="2109" t="s">
        <v>16</v>
      </c>
      <c r="T157" s="1543"/>
      <c r="U157" s="1543" t="s">
        <v>43</v>
      </c>
      <c r="V157" s="1573" t="s">
        <v>1</v>
      </c>
      <c r="W157" s="1533"/>
      <c r="Y157" s="1050"/>
      <c r="Z157" s="1050"/>
      <c r="AA157" s="1050"/>
      <c r="AB157" s="1050"/>
      <c r="AC157" s="1050"/>
      <c r="AD157" s="1050"/>
      <c r="AE157" s="1050"/>
      <c r="AF157" s="1050"/>
      <c r="AG157" s="1050"/>
      <c r="AH157" s="1050"/>
      <c r="AI157" s="1050"/>
      <c r="AJ157" s="1050"/>
      <c r="AK157" s="1050"/>
      <c r="AL157" s="1574"/>
      <c r="AM157" s="1574"/>
      <c r="AN157" s="1050"/>
      <c r="AO157" s="1050"/>
      <c r="AP157" s="1050"/>
      <c r="AQ157" s="1050"/>
    </row>
    <row r="158" spans="1:43" s="1835" customFormat="1" ht="17.25" customHeight="1">
      <c r="A158" s="1570"/>
      <c r="C158" s="1575"/>
      <c r="D158" s="1560"/>
      <c r="E158" s="1577"/>
      <c r="F158" s="1516"/>
      <c r="G158" s="1578"/>
      <c r="H158" s="1560"/>
      <c r="I158" s="1560"/>
      <c r="J158" s="1579"/>
      <c r="K158" s="1498"/>
      <c r="L158" s="2212"/>
      <c r="M158" s="2212"/>
      <c r="N158" s="2339"/>
      <c r="O158" s="2050"/>
      <c r="P158" s="2212"/>
      <c r="Q158" s="2212"/>
      <c r="R158" s="2324"/>
      <c r="S158" s="2109"/>
      <c r="T158" s="197"/>
      <c r="U158" s="198"/>
      <c r="V158" s="198" t="s">
        <v>340</v>
      </c>
      <c r="W158" s="199"/>
      <c r="Y158" s="1046"/>
      <c r="Z158" s="1046"/>
      <c r="AA158" s="1046"/>
      <c r="AB158" s="1046"/>
      <c r="AC158" s="1046"/>
      <c r="AD158" s="1046"/>
      <c r="AE158" s="1046"/>
      <c r="AF158" s="1046"/>
      <c r="AG158" s="1046"/>
      <c r="AH158" s="1046"/>
      <c r="AI158" s="1046"/>
      <c r="AJ158" s="1046"/>
      <c r="AK158" s="1046"/>
    </row>
    <row r="159" spans="1:43" s="1835" customFormat="1" ht="17.25" customHeight="1">
      <c r="A159" s="1570"/>
      <c r="C159" s="1575"/>
      <c r="D159" s="1560"/>
      <c r="E159" s="1577"/>
      <c r="F159" s="1516"/>
      <c r="G159" s="1578"/>
      <c r="H159" s="1560"/>
      <c r="I159" s="1560"/>
      <c r="J159" s="1579"/>
      <c r="K159" s="1498"/>
      <c r="L159" s="1999"/>
      <c r="M159" s="1999"/>
      <c r="N159" s="2340"/>
      <c r="O159" s="2051"/>
      <c r="P159" s="197"/>
      <c r="Q159" s="198"/>
      <c r="R159" s="198" t="s">
        <v>341</v>
      </c>
      <c r="S159" s="1576"/>
      <c r="T159" s="1576"/>
      <c r="U159" s="1576"/>
      <c r="V159" s="1576"/>
      <c r="W159" s="199"/>
      <c r="Y159" s="1046"/>
      <c r="Z159" s="1046"/>
      <c r="AA159" s="1046"/>
      <c r="AB159" s="1046"/>
      <c r="AC159" s="1046"/>
      <c r="AD159" s="1046"/>
      <c r="AE159" s="1046"/>
      <c r="AF159" s="1046"/>
      <c r="AG159" s="1046"/>
      <c r="AH159" s="1046"/>
      <c r="AI159" s="1046"/>
      <c r="AJ159" s="1046"/>
      <c r="AK159" s="1046"/>
    </row>
    <row r="160" spans="1:43" ht="17.25" customHeight="1">
      <c r="G160" s="1569"/>
      <c r="H160" s="1569"/>
      <c r="I160" s="1569"/>
      <c r="M160" s="1565"/>
    </row>
    <row r="161" spans="1:43" s="1835" customFormat="1" ht="17.25" customHeight="1">
      <c r="A161" s="1570"/>
      <c r="C161" s="1572"/>
      <c r="D161" s="1560"/>
      <c r="E161" s="1577"/>
      <c r="F161" s="1516"/>
      <c r="G161" s="1578"/>
      <c r="H161" s="1560"/>
      <c r="I161" s="1560"/>
      <c r="J161" s="1579"/>
      <c r="K161" s="1498"/>
      <c r="L161" s="1494"/>
      <c r="M161" s="1494"/>
      <c r="N161" s="1580"/>
      <c r="O161" s="1519"/>
      <c r="P161" s="2212"/>
      <c r="Q161" s="2212" t="s">
        <v>43</v>
      </c>
      <c r="R161" s="2324" t="s">
        <v>1</v>
      </c>
      <c r="S161" s="2109" t="s">
        <v>16</v>
      </c>
      <c r="T161" s="1543"/>
      <c r="U161" s="1543" t="s">
        <v>43</v>
      </c>
      <c r="V161" s="1573" t="s">
        <v>1</v>
      </c>
      <c r="W161" s="1533"/>
      <c r="Y161" s="1050"/>
      <c r="Z161" s="1050"/>
      <c r="AA161" s="1050"/>
      <c r="AB161" s="1050"/>
      <c r="AC161" s="1050"/>
      <c r="AD161" s="1050"/>
      <c r="AE161" s="1050"/>
      <c r="AF161" s="1050"/>
      <c r="AG161" s="1050"/>
      <c r="AH161" s="1050"/>
      <c r="AI161" s="1050"/>
      <c r="AJ161" s="1050"/>
      <c r="AK161" s="1050"/>
      <c r="AL161" s="1574"/>
      <c r="AM161" s="1574"/>
      <c r="AN161" s="1050"/>
      <c r="AO161" s="1050"/>
      <c r="AP161" s="1050"/>
      <c r="AQ161" s="1050"/>
    </row>
    <row r="162" spans="1:43" s="1835" customFormat="1" ht="17.25" customHeight="1">
      <c r="A162" s="1570"/>
      <c r="C162" s="1575"/>
      <c r="D162" s="1560"/>
      <c r="E162" s="1577"/>
      <c r="F162" s="1516"/>
      <c r="G162" s="1578"/>
      <c r="H162" s="1560"/>
      <c r="I162" s="1560"/>
      <c r="J162" s="1579"/>
      <c r="K162" s="1498"/>
      <c r="L162" s="1494"/>
      <c r="M162" s="1494"/>
      <c r="N162" s="1580"/>
      <c r="O162" s="1519"/>
      <c r="P162" s="2212"/>
      <c r="Q162" s="2212"/>
      <c r="R162" s="2324"/>
      <c r="S162" s="2109"/>
      <c r="T162" s="197"/>
      <c r="U162" s="198"/>
      <c r="V162" s="198" t="s">
        <v>340</v>
      </c>
      <c r="W162" s="199"/>
      <c r="Y162" s="1046"/>
      <c r="Z162" s="1046"/>
      <c r="AA162" s="1046"/>
      <c r="AB162" s="1046"/>
      <c r="AC162" s="1046"/>
      <c r="AD162" s="1046"/>
      <c r="AE162" s="1046"/>
      <c r="AF162" s="1046"/>
      <c r="AG162" s="1046"/>
      <c r="AH162" s="1046"/>
      <c r="AI162" s="1046"/>
      <c r="AJ162" s="1046"/>
      <c r="AK162" s="1046"/>
    </row>
    <row r="163" spans="1:43" ht="17.25" customHeight="1">
      <c r="G163" s="1569"/>
      <c r="H163" s="1569"/>
      <c r="I163" s="1569"/>
      <c r="M163" s="1565"/>
    </row>
    <row r="164" spans="1:43" s="1835" customFormat="1" ht="17.25" customHeight="1">
      <c r="A164" s="1570"/>
      <c r="C164" s="1572"/>
      <c r="D164" s="1560"/>
      <c r="E164" s="1577"/>
      <c r="F164" s="1516"/>
      <c r="G164" s="1578"/>
      <c r="H164" s="1494"/>
      <c r="I164" s="1494"/>
      <c r="J164" s="1495"/>
      <c r="K164" s="1578"/>
      <c r="L164" s="1494"/>
      <c r="M164" s="1494"/>
      <c r="N164" s="1578"/>
      <c r="O164" s="1578"/>
      <c r="P164" s="1494"/>
      <c r="Q164" s="1494"/>
      <c r="R164" s="1496"/>
      <c r="S164" s="1578"/>
      <c r="T164" s="1543"/>
      <c r="U164" s="1543" t="s">
        <v>43</v>
      </c>
      <c r="V164" s="1573" t="s">
        <v>1</v>
      </c>
      <c r="W164" s="1533"/>
      <c r="Y164" s="1050"/>
      <c r="Z164" s="1050"/>
      <c r="AA164" s="1050"/>
      <c r="AB164" s="1050"/>
      <c r="AC164" s="1050"/>
      <c r="AD164" s="1050"/>
      <c r="AE164" s="1050"/>
      <c r="AF164" s="1050"/>
      <c r="AG164" s="1050"/>
      <c r="AH164" s="1050"/>
      <c r="AI164" s="1050"/>
      <c r="AJ164" s="1050"/>
      <c r="AK164" s="1050"/>
      <c r="AL164" s="1574"/>
      <c r="AM164" s="1574"/>
      <c r="AN164" s="1050"/>
      <c r="AO164" s="1050"/>
      <c r="AP164" s="1050"/>
      <c r="AQ164" s="1050"/>
    </row>
    <row r="166" spans="1:43" s="1832" customFormat="1" ht="17.25" customHeight="1">
      <c r="A166" s="1547" t="s">
        <v>1085</v>
      </c>
    </row>
    <row r="167" spans="1:43" ht="17.25" customHeight="1">
      <c r="G167" s="1569"/>
      <c r="H167" s="1569"/>
      <c r="I167" s="1569"/>
      <c r="M167" s="1565"/>
    </row>
    <row r="168" spans="1:43" s="1835" customFormat="1" ht="17.25" customHeight="1">
      <c r="A168" s="1570"/>
      <c r="C168" s="1572"/>
      <c r="D168" s="2321"/>
      <c r="E168" s="2000"/>
      <c r="F168" s="2002"/>
      <c r="G168" s="2325"/>
      <c r="H168" s="2321"/>
      <c r="I168" s="2321">
        <v>1</v>
      </c>
      <c r="J168" s="2341"/>
      <c r="K168" s="2049" t="s">
        <v>16</v>
      </c>
      <c r="L168" s="2212"/>
      <c r="M168" s="2212" t="s">
        <v>43</v>
      </c>
      <c r="N168" s="2339" t="str">
        <f>IF(Z168="","",INDEX(TERRITORY_MR_LIST,MATCH(Z168,TERRITORY_LIST_ID,0)))</f>
        <v/>
      </c>
      <c r="O168" s="2049" t="s">
        <v>16</v>
      </c>
      <c r="P168" s="2212"/>
      <c r="Q168" s="2212" t="s">
        <v>43</v>
      </c>
      <c r="R168" s="2324" t="s">
        <v>1</v>
      </c>
      <c r="S168" s="2214" t="s">
        <v>15</v>
      </c>
      <c r="T168" s="1534"/>
      <c r="U168" s="1534" t="s">
        <v>43</v>
      </c>
      <c r="V168" s="1209"/>
      <c r="W168" s="2341"/>
      <c r="Y168" s="1050"/>
      <c r="Z168" s="1050"/>
      <c r="AA168" s="1050"/>
      <c r="AB168" s="1050"/>
      <c r="AC168" s="1050"/>
      <c r="AD168" s="1050"/>
      <c r="AE168" s="1050"/>
      <c r="AF168" s="1050"/>
      <c r="AG168" s="1050"/>
      <c r="AH168" s="1050"/>
      <c r="AI168" s="1050"/>
      <c r="AJ168" s="1050"/>
      <c r="AK168" s="1050"/>
      <c r="AL168" s="1574"/>
      <c r="AM168" s="1574"/>
      <c r="AN168" s="1050"/>
      <c r="AO168" s="1050"/>
      <c r="AP168" s="1050"/>
      <c r="AQ168" s="1050"/>
    </row>
    <row r="169" spans="1:43" s="1835" customFormat="1" ht="17.25" customHeight="1">
      <c r="A169" s="1570"/>
      <c r="C169" s="1575"/>
      <c r="D169" s="2321"/>
      <c r="E169" s="2000"/>
      <c r="F169" s="2003"/>
      <c r="G169" s="2325"/>
      <c r="H169" s="2321"/>
      <c r="I169" s="2321"/>
      <c r="J169" s="2341"/>
      <c r="K169" s="2050"/>
      <c r="L169" s="2212"/>
      <c r="M169" s="2212"/>
      <c r="N169" s="2339"/>
      <c r="O169" s="2050"/>
      <c r="P169" s="2212"/>
      <c r="Q169" s="2212"/>
      <c r="R169" s="2324"/>
      <c r="S169" s="2214"/>
      <c r="T169" s="1210"/>
      <c r="U169" s="1211"/>
      <c r="V169" s="1211"/>
      <c r="W169" s="2341"/>
      <c r="Y169" s="1046"/>
      <c r="Z169" s="1046"/>
      <c r="AA169" s="1046"/>
      <c r="AB169" s="1046"/>
      <c r="AC169" s="1046"/>
      <c r="AD169" s="1046"/>
      <c r="AE169" s="1046"/>
      <c r="AF169" s="1046"/>
      <c r="AG169" s="1046"/>
      <c r="AH169" s="1046"/>
      <c r="AI169" s="1046"/>
      <c r="AJ169" s="1046"/>
      <c r="AK169" s="1046"/>
    </row>
    <row r="170" spans="1:43" s="1835" customFormat="1" ht="17.25" customHeight="1">
      <c r="A170" s="1570"/>
      <c r="C170" s="1575"/>
      <c r="D170" s="1999"/>
      <c r="E170" s="2001"/>
      <c r="F170" s="2003"/>
      <c r="G170" s="2326"/>
      <c r="H170" s="1999"/>
      <c r="I170" s="1999"/>
      <c r="J170" s="2342"/>
      <c r="K170" s="2050"/>
      <c r="L170" s="1999"/>
      <c r="M170" s="1999"/>
      <c r="N170" s="2340"/>
      <c r="O170" s="2051"/>
      <c r="P170" s="197"/>
      <c r="Q170" s="198"/>
      <c r="R170" s="198" t="s">
        <v>341</v>
      </c>
      <c r="S170" s="1576"/>
      <c r="T170" s="1576"/>
      <c r="U170" s="1576"/>
      <c r="V170" s="1576"/>
      <c r="W170" s="1208"/>
      <c r="Y170" s="1046"/>
      <c r="Z170" s="1046"/>
      <c r="AA170" s="1046"/>
      <c r="AB170" s="1046"/>
      <c r="AC170" s="1046"/>
      <c r="AD170" s="1046"/>
      <c r="AE170" s="1046"/>
      <c r="AF170" s="1046"/>
      <c r="AG170" s="1046"/>
      <c r="AH170" s="1046"/>
      <c r="AI170" s="1046"/>
      <c r="AJ170" s="1046"/>
      <c r="AK170" s="1046"/>
    </row>
    <row r="171" spans="1:43" s="1835" customFormat="1" ht="17.25" customHeight="1">
      <c r="A171" s="1570"/>
      <c r="C171" s="1575"/>
      <c r="D171" s="1999"/>
      <c r="E171" s="2001"/>
      <c r="F171" s="2003"/>
      <c r="G171" s="2326"/>
      <c r="H171" s="1999"/>
      <c r="I171" s="1999"/>
      <c r="J171" s="2342"/>
      <c r="K171" s="2051"/>
      <c r="L171" s="197"/>
      <c r="M171" s="198"/>
      <c r="N171" s="198" t="s">
        <v>342</v>
      </c>
      <c r="O171" s="198"/>
      <c r="P171" s="198"/>
      <c r="Q171" s="198"/>
      <c r="R171" s="198"/>
      <c r="S171" s="1576"/>
      <c r="T171" s="1576"/>
      <c r="U171" s="1576"/>
      <c r="V171" s="1576"/>
      <c r="W171" s="199"/>
      <c r="Y171" s="1046"/>
      <c r="Z171" s="1046"/>
      <c r="AA171" s="1046"/>
      <c r="AB171" s="1046"/>
      <c r="AC171" s="1046"/>
      <c r="AD171" s="1046"/>
      <c r="AE171" s="1046"/>
      <c r="AF171" s="1046"/>
      <c r="AG171" s="1046"/>
      <c r="AH171" s="1046"/>
      <c r="AI171" s="1046"/>
      <c r="AJ171" s="1046"/>
      <c r="AK171" s="1046"/>
    </row>
    <row r="172" spans="1:43" s="1835" customFormat="1" ht="17.25" customHeight="1">
      <c r="A172" s="1570"/>
      <c r="C172" s="1575"/>
      <c r="D172" s="1999"/>
      <c r="E172" s="2001"/>
      <c r="F172" s="2004"/>
      <c r="G172" s="2326"/>
      <c r="H172" s="197"/>
      <c r="I172" s="198"/>
      <c r="J172" s="198" t="s">
        <v>374</v>
      </c>
      <c r="K172" s="198"/>
      <c r="L172" s="198"/>
      <c r="M172" s="198"/>
      <c r="N172" s="198"/>
      <c r="O172" s="198"/>
      <c r="P172" s="198"/>
      <c r="Q172" s="198"/>
      <c r="R172" s="198"/>
      <c r="S172" s="1576"/>
      <c r="T172" s="1576"/>
      <c r="U172" s="1576"/>
      <c r="V172" s="1576"/>
      <c r="W172" s="199"/>
      <c r="Y172" s="1046"/>
      <c r="Z172" s="1046"/>
      <c r="AA172" s="1046"/>
      <c r="AB172" s="1046"/>
      <c r="AC172" s="1046"/>
      <c r="AD172" s="1046"/>
      <c r="AE172" s="1046"/>
      <c r="AF172" s="1046"/>
      <c r="AG172" s="1046"/>
      <c r="AH172" s="1046"/>
      <c r="AI172" s="1046"/>
      <c r="AJ172" s="1046"/>
      <c r="AK172" s="1046"/>
    </row>
    <row r="173" spans="1:43" ht="17.25" customHeight="1">
      <c r="A173" s="1581"/>
    </row>
    <row r="174" spans="1:43" s="1835" customFormat="1" ht="17.25" customHeight="1">
      <c r="A174" s="1570"/>
      <c r="C174" s="1572"/>
      <c r="D174" s="1560"/>
      <c r="E174" s="1577"/>
      <c r="F174" s="1516"/>
      <c r="G174" s="1578"/>
      <c r="H174" s="2321"/>
      <c r="I174" s="2321">
        <v>1</v>
      </c>
      <c r="J174" s="2341"/>
      <c r="K174" s="2049" t="s">
        <v>16</v>
      </c>
      <c r="L174" s="2212"/>
      <c r="M174" s="2212" t="s">
        <v>43</v>
      </c>
      <c r="N174" s="2339" t="str">
        <f>IF(Z174="","",INDEX(TERRITORY_MR_LIST,MATCH(Z174,TERRITORY_LIST_ID,0)))</f>
        <v/>
      </c>
      <c r="O174" s="2049" t="s">
        <v>16</v>
      </c>
      <c r="P174" s="2212"/>
      <c r="Q174" s="2212" t="s">
        <v>43</v>
      </c>
      <c r="R174" s="2324" t="s">
        <v>1</v>
      </c>
      <c r="S174" s="2214" t="s">
        <v>15</v>
      </c>
      <c r="T174" s="1534"/>
      <c r="U174" s="1534" t="s">
        <v>43</v>
      </c>
      <c r="V174" s="1209"/>
      <c r="W174" s="2341"/>
      <c r="Y174" s="1050"/>
      <c r="Z174" s="1050"/>
      <c r="AA174" s="1050"/>
      <c r="AB174" s="1050"/>
      <c r="AC174" s="1050"/>
      <c r="AD174" s="1050"/>
      <c r="AE174" s="1050"/>
      <c r="AF174" s="1050"/>
      <c r="AG174" s="1050"/>
      <c r="AH174" s="1050"/>
      <c r="AI174" s="1050"/>
      <c r="AJ174" s="1050"/>
      <c r="AK174" s="1050"/>
      <c r="AL174" s="1574"/>
      <c r="AM174" s="1574"/>
      <c r="AN174" s="1050"/>
      <c r="AO174" s="1050"/>
      <c r="AP174" s="1050"/>
      <c r="AQ174" s="1050"/>
    </row>
    <row r="175" spans="1:43" s="1835" customFormat="1" ht="17.25" customHeight="1">
      <c r="A175" s="1570"/>
      <c r="C175" s="1575"/>
      <c r="D175" s="1560"/>
      <c r="E175" s="1577"/>
      <c r="F175" s="1516"/>
      <c r="G175" s="1578"/>
      <c r="H175" s="2321"/>
      <c r="I175" s="2321"/>
      <c r="J175" s="2341"/>
      <c r="K175" s="2050"/>
      <c r="L175" s="2212"/>
      <c r="M175" s="2212"/>
      <c r="N175" s="2339"/>
      <c r="O175" s="2050"/>
      <c r="P175" s="2212"/>
      <c r="Q175" s="2212"/>
      <c r="R175" s="2324"/>
      <c r="S175" s="2214"/>
      <c r="T175" s="1210"/>
      <c r="U175" s="1211"/>
      <c r="V175" s="1211"/>
      <c r="W175" s="2341"/>
      <c r="Y175" s="1046"/>
      <c r="Z175" s="1046"/>
      <c r="AA175" s="1046"/>
      <c r="AB175" s="1046"/>
      <c r="AC175" s="1046"/>
      <c r="AD175" s="1046"/>
      <c r="AE175" s="1046"/>
      <c r="AF175" s="1046"/>
      <c r="AG175" s="1046"/>
      <c r="AH175" s="1046"/>
      <c r="AI175" s="1046"/>
      <c r="AJ175" s="1046"/>
      <c r="AK175" s="1046"/>
    </row>
    <row r="176" spans="1:43" s="1835" customFormat="1" ht="17.25" customHeight="1">
      <c r="A176" s="1570"/>
      <c r="C176" s="1575"/>
      <c r="D176" s="1560"/>
      <c r="E176" s="1577"/>
      <c r="F176" s="1516"/>
      <c r="G176" s="1578"/>
      <c r="H176" s="1999"/>
      <c r="I176" s="1999"/>
      <c r="J176" s="2342"/>
      <c r="K176" s="2050"/>
      <c r="L176" s="1999"/>
      <c r="M176" s="1999"/>
      <c r="N176" s="2340"/>
      <c r="O176" s="2051"/>
      <c r="P176" s="197"/>
      <c r="Q176" s="198"/>
      <c r="R176" s="198" t="s">
        <v>341</v>
      </c>
      <c r="S176" s="1576"/>
      <c r="T176" s="1576"/>
      <c r="U176" s="1576"/>
      <c r="V176" s="1576"/>
      <c r="W176" s="1208"/>
      <c r="Y176" s="1046"/>
      <c r="Z176" s="1046"/>
      <c r="AA176" s="1046"/>
      <c r="AB176" s="1046"/>
      <c r="AC176" s="1046"/>
      <c r="AD176" s="1046"/>
      <c r="AE176" s="1046"/>
      <c r="AF176" s="1046"/>
      <c r="AG176" s="1046"/>
      <c r="AH176" s="1046"/>
      <c r="AI176" s="1046"/>
      <c r="AJ176" s="1046"/>
      <c r="AK176" s="1046"/>
    </row>
    <row r="177" spans="1:43" s="1835" customFormat="1" ht="17.25" customHeight="1">
      <c r="A177" s="1570"/>
      <c r="C177" s="1575"/>
      <c r="D177" s="1560"/>
      <c r="E177" s="1577"/>
      <c r="F177" s="1516"/>
      <c r="G177" s="1578"/>
      <c r="H177" s="1999"/>
      <c r="I177" s="1999"/>
      <c r="J177" s="2342"/>
      <c r="K177" s="2051"/>
      <c r="L177" s="197"/>
      <c r="M177" s="198"/>
      <c r="N177" s="198" t="s">
        <v>342</v>
      </c>
      <c r="O177" s="198"/>
      <c r="P177" s="198"/>
      <c r="Q177" s="198"/>
      <c r="R177" s="198"/>
      <c r="S177" s="1576"/>
      <c r="T177" s="1576"/>
      <c r="U177" s="1576"/>
      <c r="V177" s="1576"/>
      <c r="W177" s="199"/>
      <c r="Y177" s="1046"/>
      <c r="Z177" s="1046"/>
      <c r="AA177" s="1046"/>
      <c r="AB177" s="1046"/>
      <c r="AC177" s="1046"/>
      <c r="AD177" s="1046"/>
      <c r="AE177" s="1046"/>
      <c r="AF177" s="1046"/>
      <c r="AG177" s="1046"/>
      <c r="AH177" s="1046"/>
      <c r="AI177" s="1046"/>
      <c r="AJ177" s="1046"/>
      <c r="AK177" s="1046"/>
    </row>
    <row r="178" spans="1:43" ht="17.25" customHeight="1">
      <c r="A178" s="1581"/>
    </row>
    <row r="179" spans="1:43" s="1835" customFormat="1" ht="17.25" customHeight="1">
      <c r="A179" s="1570"/>
      <c r="C179" s="1572"/>
      <c r="D179" s="1560"/>
      <c r="E179" s="1577"/>
      <c r="F179" s="1516"/>
      <c r="G179" s="1578"/>
      <c r="H179" s="1560"/>
      <c r="I179" s="1560"/>
      <c r="J179" s="1582"/>
      <c r="K179" s="1578"/>
      <c r="L179" s="2212"/>
      <c r="M179" s="2212" t="s">
        <v>43</v>
      </c>
      <c r="N179" s="2339" t="str">
        <f>IF(Z179="","",INDEX(TERRITORY_MR_LIST,MATCH(Z179,TERRITORY_LIST_ID,0)))</f>
        <v/>
      </c>
      <c r="O179" s="2049" t="s">
        <v>16</v>
      </c>
      <c r="P179" s="2212"/>
      <c r="Q179" s="2212" t="s">
        <v>43</v>
      </c>
      <c r="R179" s="2324" t="s">
        <v>1</v>
      </c>
      <c r="S179" s="2214" t="s">
        <v>15</v>
      </c>
      <c r="T179" s="1534"/>
      <c r="U179" s="1534" t="s">
        <v>43</v>
      </c>
      <c r="V179" s="1209"/>
      <c r="W179" s="2341"/>
      <c r="Y179" s="1050"/>
      <c r="Z179" s="1050"/>
      <c r="AA179" s="1050"/>
      <c r="AB179" s="1050"/>
      <c r="AC179" s="1050"/>
      <c r="AD179" s="1050"/>
      <c r="AE179" s="1050"/>
      <c r="AF179" s="1050"/>
      <c r="AG179" s="1050"/>
      <c r="AH179" s="1050"/>
      <c r="AI179" s="1050"/>
      <c r="AJ179" s="1050"/>
      <c r="AK179" s="1050"/>
      <c r="AL179" s="1574"/>
      <c r="AM179" s="1574"/>
      <c r="AN179" s="1050"/>
      <c r="AO179" s="1050"/>
      <c r="AP179" s="1050"/>
      <c r="AQ179" s="1050"/>
    </row>
    <row r="180" spans="1:43" s="1835" customFormat="1" ht="17.25" customHeight="1">
      <c r="A180" s="1570"/>
      <c r="C180" s="1575"/>
      <c r="D180" s="1560"/>
      <c r="E180" s="1577"/>
      <c r="F180" s="1516"/>
      <c r="G180" s="1578"/>
      <c r="H180" s="1560"/>
      <c r="I180" s="1560"/>
      <c r="J180" s="1582"/>
      <c r="K180" s="1578"/>
      <c r="L180" s="2212"/>
      <c r="M180" s="2212"/>
      <c r="N180" s="2339"/>
      <c r="O180" s="2050"/>
      <c r="P180" s="2212"/>
      <c r="Q180" s="2212"/>
      <c r="R180" s="2324"/>
      <c r="S180" s="2214"/>
      <c r="T180" s="1210"/>
      <c r="U180" s="1211"/>
      <c r="V180" s="1211"/>
      <c r="W180" s="2341"/>
      <c r="Y180" s="1046"/>
      <c r="Z180" s="1046"/>
      <c r="AA180" s="1046"/>
      <c r="AB180" s="1046"/>
      <c r="AC180" s="1046"/>
      <c r="AD180" s="1046"/>
      <c r="AE180" s="1046"/>
      <c r="AF180" s="1046"/>
      <c r="AG180" s="1046"/>
      <c r="AH180" s="1046"/>
      <c r="AI180" s="1046"/>
      <c r="AJ180" s="1046"/>
      <c r="AK180" s="1046"/>
    </row>
    <row r="181" spans="1:43" s="1835" customFormat="1" ht="17.25" customHeight="1">
      <c r="A181" s="1570"/>
      <c r="C181" s="1575"/>
      <c r="D181" s="1560"/>
      <c r="E181" s="1577"/>
      <c r="F181" s="1516"/>
      <c r="G181" s="1578"/>
      <c r="H181" s="1560"/>
      <c r="I181" s="1560"/>
      <c r="J181" s="1582"/>
      <c r="K181" s="1578"/>
      <c r="L181" s="1999"/>
      <c r="M181" s="1999"/>
      <c r="N181" s="2340"/>
      <c r="O181" s="2051"/>
      <c r="P181" s="197"/>
      <c r="Q181" s="198"/>
      <c r="R181" s="198" t="s">
        <v>341</v>
      </c>
      <c r="S181" s="1576"/>
      <c r="T181" s="1576"/>
      <c r="U181" s="1576"/>
      <c r="V181" s="1576"/>
      <c r="W181" s="1208"/>
      <c r="Y181" s="1046"/>
      <c r="Z181" s="1046"/>
      <c r="AA181" s="1046"/>
      <c r="AB181" s="1046"/>
      <c r="AC181" s="1046"/>
      <c r="AD181" s="1046"/>
      <c r="AE181" s="1046"/>
      <c r="AF181" s="1046"/>
      <c r="AG181" s="1046"/>
      <c r="AH181" s="1046"/>
      <c r="AI181" s="1046"/>
      <c r="AJ181" s="1046"/>
      <c r="AK181" s="1046"/>
    </row>
    <row r="182" spans="1:43" ht="17.25" customHeight="1">
      <c r="A182" s="1581"/>
    </row>
    <row r="183" spans="1:43" s="1835" customFormat="1" ht="17.25" customHeight="1">
      <c r="A183" s="1570"/>
      <c r="C183" s="1572"/>
      <c r="D183" s="1560"/>
      <c r="E183" s="1577"/>
      <c r="F183" s="1516"/>
      <c r="G183" s="1578"/>
      <c r="H183" s="1560"/>
      <c r="I183" s="1560"/>
      <c r="J183" s="1582"/>
      <c r="K183" s="1578"/>
      <c r="L183" s="1560"/>
      <c r="M183" s="1560"/>
      <c r="N183" s="1580"/>
      <c r="O183" s="1519"/>
      <c r="P183" s="2212"/>
      <c r="Q183" s="2212" t="s">
        <v>43</v>
      </c>
      <c r="R183" s="2324" t="s">
        <v>1</v>
      </c>
      <c r="S183" s="2214" t="s">
        <v>15</v>
      </c>
      <c r="T183" s="1534"/>
      <c r="U183" s="1534" t="s">
        <v>43</v>
      </c>
      <c r="V183" s="1209"/>
      <c r="W183" s="2341"/>
      <c r="Y183" s="1050"/>
      <c r="Z183" s="1050"/>
      <c r="AA183" s="1050"/>
      <c r="AB183" s="1050"/>
      <c r="AC183" s="1050"/>
      <c r="AD183" s="1050"/>
      <c r="AE183" s="1050"/>
      <c r="AF183" s="1050"/>
      <c r="AG183" s="1050"/>
      <c r="AH183" s="1050"/>
      <c r="AI183" s="1050"/>
      <c r="AJ183" s="1050"/>
      <c r="AK183" s="1050"/>
      <c r="AL183" s="1574"/>
      <c r="AM183" s="1574"/>
      <c r="AN183" s="1050"/>
      <c r="AO183" s="1050"/>
      <c r="AP183" s="1050"/>
      <c r="AQ183" s="1050"/>
    </row>
    <row r="184" spans="1:43" s="1835" customFormat="1" ht="17.25" customHeight="1">
      <c r="A184" s="1570"/>
      <c r="C184" s="1575"/>
      <c r="D184" s="1560"/>
      <c r="E184" s="1577"/>
      <c r="F184" s="1516"/>
      <c r="G184" s="1578"/>
      <c r="H184" s="1560"/>
      <c r="I184" s="1560"/>
      <c r="J184" s="1582"/>
      <c r="K184" s="1578"/>
      <c r="L184" s="1560"/>
      <c r="M184" s="1560"/>
      <c r="N184" s="1580"/>
      <c r="O184" s="1519"/>
      <c r="P184" s="2212"/>
      <c r="Q184" s="2212"/>
      <c r="R184" s="2324"/>
      <c r="S184" s="2214"/>
      <c r="T184" s="1210"/>
      <c r="U184" s="1211"/>
      <c r="V184" s="1211"/>
      <c r="W184" s="2341"/>
      <c r="Y184" s="1046"/>
      <c r="Z184" s="1046"/>
      <c r="AA184" s="1046"/>
      <c r="AB184" s="1046"/>
      <c r="AC184" s="1046"/>
      <c r="AD184" s="1046"/>
      <c r="AE184" s="1046"/>
      <c r="AF184" s="1046"/>
      <c r="AG184" s="1046"/>
      <c r="AH184" s="1046"/>
      <c r="AI184" s="1046"/>
      <c r="AJ184" s="1046"/>
      <c r="AK184" s="1046"/>
    </row>
    <row r="185" spans="1:43" ht="17.25" customHeight="1">
      <c r="A185" s="1581"/>
    </row>
    <row r="186" spans="1:43" ht="16.5" customHeight="1">
      <c r="A186" s="1570"/>
      <c r="B186" s="1571"/>
      <c r="C186" s="1575"/>
      <c r="D186" s="2321"/>
      <c r="E186" s="2046"/>
      <c r="F186" s="2046"/>
      <c r="G186" s="2025"/>
      <c r="H186" s="2005"/>
      <c r="I186" s="2007"/>
      <c r="J186" s="2009"/>
      <c r="K186" s="1996"/>
      <c r="L186" s="1996"/>
      <c r="M186" s="1996"/>
      <c r="N186" s="2012"/>
      <c r="O186" s="1996"/>
      <c r="P186" s="1996"/>
      <c r="Q186" s="1996"/>
      <c r="R186" s="2015"/>
      <c r="S186" s="1996"/>
      <c r="T186" s="1515"/>
      <c r="U186" s="1515"/>
      <c r="V186" s="1583"/>
      <c r="W186" s="1079"/>
    </row>
    <row r="187" spans="1:43" ht="16.5" customHeight="1">
      <c r="A187" s="1570"/>
      <c r="B187" s="1571"/>
      <c r="C187" s="1575"/>
      <c r="D187" s="2321"/>
      <c r="E187" s="2046"/>
      <c r="F187" s="2046"/>
      <c r="G187" s="2025"/>
      <c r="H187" s="2006"/>
      <c r="I187" s="2008"/>
      <c r="J187" s="2010"/>
      <c r="K187" s="1997"/>
      <c r="L187" s="1997"/>
      <c r="M187" s="1997"/>
      <c r="N187" s="2013"/>
      <c r="O187" s="1997"/>
      <c r="P187" s="1997"/>
      <c r="Q187" s="1997"/>
      <c r="R187" s="2014"/>
      <c r="S187" s="1997"/>
      <c r="T187" s="1080"/>
      <c r="U187" s="1080"/>
      <c r="V187" s="1080"/>
      <c r="W187" s="1081"/>
    </row>
    <row r="188" spans="1:43" ht="17.25" customHeight="1">
      <c r="A188" s="1570"/>
      <c r="B188" s="1571"/>
      <c r="C188" s="1575"/>
      <c r="D188" s="2321"/>
      <c r="E188" s="2046"/>
      <c r="F188" s="2046"/>
      <c r="G188" s="2025"/>
      <c r="H188" s="2006"/>
      <c r="I188" s="2008"/>
      <c r="J188" s="2011"/>
      <c r="K188" s="1997"/>
      <c r="L188" s="1997"/>
      <c r="M188" s="1997"/>
      <c r="N188" s="2014"/>
      <c r="O188" s="1997"/>
      <c r="P188" s="1518"/>
      <c r="Q188" s="1080"/>
      <c r="R188" s="1080"/>
      <c r="S188" s="1584"/>
      <c r="T188" s="1584"/>
      <c r="U188" s="1584"/>
      <c r="V188" s="1584"/>
      <c r="W188" s="1081"/>
    </row>
    <row r="189" spans="1:43" ht="17.25" customHeight="1">
      <c r="A189" s="1570"/>
      <c r="B189" s="1571"/>
      <c r="C189" s="1575"/>
      <c r="D189" s="2321"/>
      <c r="E189" s="2046"/>
      <c r="F189" s="2046"/>
      <c r="G189" s="2025"/>
      <c r="H189" s="2006"/>
      <c r="I189" s="2008"/>
      <c r="J189" s="2011"/>
      <c r="K189" s="1997"/>
      <c r="L189" s="1080"/>
      <c r="M189" s="1080"/>
      <c r="N189" s="1080"/>
      <c r="O189" s="1080"/>
      <c r="P189" s="1080"/>
      <c r="Q189" s="1080"/>
      <c r="R189" s="1080"/>
      <c r="S189" s="1584"/>
      <c r="T189" s="1584"/>
      <c r="U189" s="1584"/>
      <c r="V189" s="1584"/>
      <c r="W189" s="1081"/>
    </row>
    <row r="190" spans="1:43" ht="17.25" customHeight="1">
      <c r="A190" s="1570"/>
      <c r="B190" s="1571"/>
      <c r="C190" s="1575"/>
      <c r="D190" s="2321"/>
      <c r="E190" s="2046"/>
      <c r="F190" s="2046"/>
      <c r="G190" s="2025"/>
      <c r="H190" s="1082"/>
      <c r="I190" s="1083"/>
      <c r="J190" s="1083"/>
      <c r="K190" s="1083"/>
      <c r="L190" s="1083"/>
      <c r="M190" s="1083"/>
      <c r="N190" s="1083"/>
      <c r="O190" s="1083"/>
      <c r="P190" s="1083"/>
      <c r="Q190" s="1083"/>
      <c r="R190" s="1083"/>
      <c r="S190" s="1585"/>
      <c r="T190" s="1585"/>
      <c r="U190" s="1585"/>
      <c r="V190" s="1585"/>
      <c r="W190" s="1085"/>
    </row>
    <row r="192" spans="1:43" s="1832" customFormat="1" ht="17.25" customHeight="1">
      <c r="A192" s="1547" t="s">
        <v>1086</v>
      </c>
    </row>
    <row r="193" spans="1:63" ht="17.25" customHeight="1">
      <c r="G193" s="1569"/>
      <c r="H193" s="1569"/>
      <c r="I193" s="1569"/>
      <c r="M193" s="1565"/>
    </row>
    <row r="194" spans="1:63" s="1633" customFormat="1" ht="15" customHeight="1">
      <c r="D194" s="2368"/>
      <c r="E194" s="2041"/>
      <c r="F194" s="2041"/>
      <c r="G194" s="2049"/>
      <c r="H194" s="1341"/>
      <c r="I194" s="2369">
        <v>1</v>
      </c>
      <c r="J194" s="2341"/>
      <c r="K194" s="1356"/>
      <c r="L194" s="2049" t="s">
        <v>16</v>
      </c>
      <c r="M194" s="2049" t="s">
        <v>16</v>
      </c>
      <c r="N194" s="1341"/>
      <c r="O194" s="2212" t="s">
        <v>43</v>
      </c>
      <c r="P194" s="2363"/>
      <c r="Q194" s="1357"/>
      <c r="R194" s="2049" t="s">
        <v>16</v>
      </c>
      <c r="S194" s="2049" t="s">
        <v>16</v>
      </c>
      <c r="T194" s="1586"/>
      <c r="U194" s="2212" t="s">
        <v>43</v>
      </c>
      <c r="V194" s="2365" t="str">
        <f>IF(AK194="","",INDEX(TERRITORY_MR_LIST,MATCH(AK194,TERRITORY_LIST_ID,0)))</f>
        <v/>
      </c>
      <c r="W194" s="1358"/>
      <c r="X194" s="2049" t="s">
        <v>16</v>
      </c>
      <c r="Y194" s="2049" t="s">
        <v>15</v>
      </c>
      <c r="Z194" s="1341"/>
      <c r="AA194" s="2212" t="s">
        <v>43</v>
      </c>
      <c r="AB194" s="2367"/>
      <c r="AC194" s="1359"/>
      <c r="AD194" s="2049" t="s">
        <v>16</v>
      </c>
      <c r="AE194" s="2049" t="s">
        <v>15</v>
      </c>
      <c r="AF194" s="1339"/>
      <c r="AG194" s="1543" t="s">
        <v>43</v>
      </c>
      <c r="AH194" s="1349"/>
      <c r="AI194" s="1533"/>
    </row>
    <row r="195" spans="1:63" s="1633" customFormat="1" ht="15" customHeight="1">
      <c r="D195" s="2368"/>
      <c r="E195" s="2041"/>
      <c r="F195" s="2041"/>
      <c r="G195" s="2050"/>
      <c r="H195" s="1341"/>
      <c r="I195" s="2369"/>
      <c r="J195" s="2341"/>
      <c r="K195" s="1340"/>
      <c r="L195" s="2050"/>
      <c r="M195" s="2050"/>
      <c r="N195" s="1341"/>
      <c r="O195" s="2212"/>
      <c r="P195" s="2363"/>
      <c r="Q195" s="1337"/>
      <c r="R195" s="2050"/>
      <c r="S195" s="2050"/>
      <c r="T195" s="1586"/>
      <c r="U195" s="2212"/>
      <c r="V195" s="2366"/>
      <c r="W195" s="1338"/>
      <c r="X195" s="2050"/>
      <c r="Y195" s="2050"/>
      <c r="Z195" s="1341"/>
      <c r="AA195" s="2212"/>
      <c r="AB195" s="2310"/>
      <c r="AC195" s="1342"/>
      <c r="AD195" s="2051"/>
      <c r="AE195" s="2051"/>
      <c r="AF195" s="1343"/>
      <c r="AG195" s="1344"/>
      <c r="AH195" s="2371" t="s">
        <v>1087</v>
      </c>
      <c r="AI195" s="2372"/>
    </row>
    <row r="196" spans="1:63" s="1633" customFormat="1" ht="15" customHeight="1">
      <c r="D196" s="2368"/>
      <c r="E196" s="2041"/>
      <c r="F196" s="2041"/>
      <c r="G196" s="2050"/>
      <c r="H196" s="1341"/>
      <c r="I196" s="2369"/>
      <c r="J196" s="2341"/>
      <c r="K196" s="1340"/>
      <c r="L196" s="2050"/>
      <c r="M196" s="2050"/>
      <c r="N196" s="1341"/>
      <c r="O196" s="2212"/>
      <c r="P196" s="2363"/>
      <c r="Q196" s="1337"/>
      <c r="R196" s="2050"/>
      <c r="S196" s="2050"/>
      <c r="T196" s="1586"/>
      <c r="U196" s="2212"/>
      <c r="V196" s="2366"/>
      <c r="W196" s="1338"/>
      <c r="X196" s="2050"/>
      <c r="Y196" s="2050"/>
      <c r="Z196" s="1380"/>
      <c r="AA196" s="1346"/>
      <c r="AB196" s="2373" t="s">
        <v>1088</v>
      </c>
      <c r="AC196" s="2373"/>
      <c r="AD196" s="2373"/>
      <c r="AE196" s="2373"/>
      <c r="AF196" s="2373"/>
      <c r="AG196" s="2373"/>
      <c r="AH196" s="2373"/>
      <c r="AI196" s="2374"/>
    </row>
    <row r="197" spans="1:63" s="1633" customFormat="1" ht="15" customHeight="1">
      <c r="D197" s="2368"/>
      <c r="E197" s="2041"/>
      <c r="F197" s="2041"/>
      <c r="G197" s="2050"/>
      <c r="H197" s="1341"/>
      <c r="I197" s="2369"/>
      <c r="J197" s="2341"/>
      <c r="K197" s="1340"/>
      <c r="L197" s="2050"/>
      <c r="M197" s="2050"/>
      <c r="N197" s="1341"/>
      <c r="O197" s="2212"/>
      <c r="P197" s="2375"/>
      <c r="Q197" s="1337"/>
      <c r="R197" s="2050"/>
      <c r="S197" s="2050"/>
      <c r="T197" s="1587"/>
      <c r="U197" s="1381"/>
      <c r="V197" s="2371" t="s">
        <v>37</v>
      </c>
      <c r="W197" s="2371"/>
      <c r="X197" s="2371"/>
      <c r="Y197" s="2371"/>
      <c r="Z197" s="2371"/>
      <c r="AA197" s="2371"/>
      <c r="AB197" s="2371"/>
      <c r="AC197" s="2371"/>
      <c r="AD197" s="2371"/>
      <c r="AE197" s="2371"/>
      <c r="AF197" s="2371"/>
      <c r="AG197" s="2371"/>
      <c r="AH197" s="2371"/>
      <c r="AI197" s="2372"/>
    </row>
    <row r="198" spans="1:63" s="1633" customFormat="1" ht="11.25" customHeight="1">
      <c r="D198" s="2368"/>
      <c r="E198" s="2041"/>
      <c r="F198" s="2041"/>
      <c r="G198" s="2050"/>
      <c r="H198" s="1345"/>
      <c r="I198" s="2369"/>
      <c r="J198" s="2370"/>
      <c r="K198" s="1340"/>
      <c r="L198" s="2050"/>
      <c r="M198" s="2050"/>
      <c r="N198" s="1345"/>
      <c r="O198" s="1346"/>
      <c r="P198" s="2371" t="s">
        <v>1089</v>
      </c>
      <c r="Q198" s="2371"/>
      <c r="R198" s="2371"/>
      <c r="S198" s="2371"/>
      <c r="T198" s="2371"/>
      <c r="U198" s="2371"/>
      <c r="V198" s="2371"/>
      <c r="W198" s="2371"/>
      <c r="X198" s="2371"/>
      <c r="Y198" s="2371"/>
      <c r="Z198" s="2371"/>
      <c r="AA198" s="2371"/>
      <c r="AB198" s="2371"/>
      <c r="AC198" s="2371"/>
      <c r="AD198" s="2371"/>
      <c r="AE198" s="2371"/>
      <c r="AF198" s="2371"/>
      <c r="AG198" s="2371"/>
      <c r="AH198" s="2371"/>
      <c r="AI198" s="2372"/>
    </row>
    <row r="199" spans="1:63" s="1658" customFormat="1" ht="11.25" customHeight="1">
      <c r="D199" s="2368"/>
      <c r="E199" s="2041"/>
      <c r="F199" s="2041"/>
      <c r="G199" s="2051"/>
      <c r="H199" s="1347"/>
      <c r="I199" s="1348"/>
      <c r="J199" s="2371" t="s">
        <v>374</v>
      </c>
      <c r="K199" s="2371"/>
      <c r="L199" s="2371"/>
      <c r="M199" s="2371"/>
      <c r="N199" s="2371"/>
      <c r="O199" s="2371"/>
      <c r="P199" s="2371"/>
      <c r="Q199" s="2371"/>
      <c r="R199" s="2371"/>
      <c r="S199" s="2371"/>
      <c r="T199" s="2371"/>
      <c r="U199" s="2371"/>
      <c r="V199" s="2371"/>
      <c r="W199" s="2371"/>
      <c r="X199" s="2371"/>
      <c r="Y199" s="2371"/>
      <c r="Z199" s="2371"/>
      <c r="AA199" s="2371"/>
      <c r="AB199" s="2371"/>
      <c r="AC199" s="2371"/>
      <c r="AD199" s="2371"/>
      <c r="AE199" s="2371"/>
      <c r="AF199" s="2371"/>
      <c r="AG199" s="2371"/>
      <c r="AH199" s="2371"/>
      <c r="AI199" s="2372"/>
      <c r="BK199" s="1351"/>
    </row>
    <row r="200" spans="1:63" ht="17.25" customHeight="1">
      <c r="G200" s="1569"/>
      <c r="I200" s="1569"/>
      <c r="J200" s="1569"/>
      <c r="N200" s="1565"/>
    </row>
    <row r="201" spans="1:63" s="1633" customFormat="1" ht="15" customHeight="1">
      <c r="D201" s="2368"/>
      <c r="E201" s="2041"/>
      <c r="F201" s="2041"/>
      <c r="G201" s="2046"/>
      <c r="H201" s="1376"/>
      <c r="I201" s="2052"/>
      <c r="J201" s="2009"/>
      <c r="K201" s="1517"/>
      <c r="L201" s="1996"/>
      <c r="M201" s="1996"/>
      <c r="N201" s="1361"/>
      <c r="O201" s="1996"/>
      <c r="P201" s="2009"/>
      <c r="Q201" s="1521"/>
      <c r="R201" s="1996"/>
      <c r="S201" s="1996"/>
      <c r="T201" s="1588"/>
      <c r="U201" s="1996"/>
      <c r="V201" s="2009"/>
      <c r="W201" s="1364"/>
      <c r="X201" s="1996"/>
      <c r="Y201" s="1996"/>
      <c r="Z201" s="1361"/>
      <c r="AA201" s="1996"/>
      <c r="AB201" s="2009"/>
      <c r="AC201" s="1365"/>
      <c r="AD201" s="1996"/>
      <c r="AE201" s="1996"/>
      <c r="AF201" s="1515"/>
      <c r="AG201" s="1515"/>
      <c r="AH201" s="1366"/>
      <c r="AI201" s="1079"/>
    </row>
    <row r="202" spans="1:63" s="1633" customFormat="1" ht="15" customHeight="1">
      <c r="D202" s="2368"/>
      <c r="E202" s="2041"/>
      <c r="F202" s="2041"/>
      <c r="G202" s="2046"/>
      <c r="H202" s="1377"/>
      <c r="I202" s="2053"/>
      <c r="J202" s="2010"/>
      <c r="K202" s="1385"/>
      <c r="L202" s="1997"/>
      <c r="M202" s="1997"/>
      <c r="N202" s="1367"/>
      <c r="O202" s="1997"/>
      <c r="P202" s="2010"/>
      <c r="Q202" s="1522"/>
      <c r="R202" s="1997"/>
      <c r="S202" s="1997"/>
      <c r="T202" s="1589"/>
      <c r="U202" s="1997"/>
      <c r="V202" s="2010"/>
      <c r="W202" s="1370"/>
      <c r="X202" s="1997"/>
      <c r="Y202" s="1997"/>
      <c r="Z202" s="1367"/>
      <c r="AA202" s="1997"/>
      <c r="AB202" s="2010"/>
      <c r="AC202" s="1371"/>
      <c r="AD202" s="1997"/>
      <c r="AE202" s="1997"/>
      <c r="AF202" s="1520"/>
      <c r="AG202" s="1520"/>
      <c r="AH202" s="2056"/>
      <c r="AI202" s="2057"/>
    </row>
    <row r="203" spans="1:63" s="1633" customFormat="1" ht="15" customHeight="1">
      <c r="D203" s="2368"/>
      <c r="E203" s="2041"/>
      <c r="F203" s="2041"/>
      <c r="G203" s="2046"/>
      <c r="H203" s="1377"/>
      <c r="I203" s="2053"/>
      <c r="J203" s="2010"/>
      <c r="K203" s="1385"/>
      <c r="L203" s="1997"/>
      <c r="M203" s="1997"/>
      <c r="N203" s="1367"/>
      <c r="O203" s="1997"/>
      <c r="P203" s="2010"/>
      <c r="Q203" s="1522"/>
      <c r="R203" s="1997"/>
      <c r="S203" s="1997"/>
      <c r="T203" s="1589"/>
      <c r="U203" s="1997"/>
      <c r="V203" s="2010"/>
      <c r="W203" s="1370"/>
      <c r="X203" s="1997"/>
      <c r="Y203" s="1997"/>
      <c r="Z203" s="1518"/>
      <c r="AA203" s="1520"/>
      <c r="AB203" s="2056"/>
      <c r="AC203" s="2056"/>
      <c r="AD203" s="2056"/>
      <c r="AE203" s="2056"/>
      <c r="AF203" s="2056"/>
      <c r="AG203" s="2056"/>
      <c r="AH203" s="2056"/>
      <c r="AI203" s="2057"/>
    </row>
    <row r="204" spans="1:63" s="1633" customFormat="1" ht="15" customHeight="1">
      <c r="D204" s="2368"/>
      <c r="E204" s="2041"/>
      <c r="F204" s="2041"/>
      <c r="G204" s="2046"/>
      <c r="H204" s="1377"/>
      <c r="I204" s="2053"/>
      <c r="J204" s="2010"/>
      <c r="K204" s="1385"/>
      <c r="L204" s="1997"/>
      <c r="M204" s="1997"/>
      <c r="N204" s="1367"/>
      <c r="O204" s="1997"/>
      <c r="P204" s="2010"/>
      <c r="Q204" s="1522"/>
      <c r="R204" s="1997"/>
      <c r="S204" s="1997"/>
      <c r="T204" s="1590"/>
      <c r="U204" s="1374"/>
      <c r="V204" s="2056"/>
      <c r="W204" s="2056"/>
      <c r="X204" s="2056"/>
      <c r="Y204" s="2056"/>
      <c r="Z204" s="2056"/>
      <c r="AA204" s="2056"/>
      <c r="AB204" s="2056"/>
      <c r="AC204" s="2056"/>
      <c r="AD204" s="2056"/>
      <c r="AE204" s="2056"/>
      <c r="AF204" s="2056"/>
      <c r="AG204" s="2056"/>
      <c r="AH204" s="2056"/>
      <c r="AI204" s="2057"/>
    </row>
    <row r="205" spans="1:63" s="1633" customFormat="1" ht="11.25" customHeight="1">
      <c r="D205" s="2368"/>
      <c r="E205" s="2041"/>
      <c r="F205" s="2041"/>
      <c r="G205" s="2046"/>
      <c r="H205" s="1378"/>
      <c r="I205" s="2053"/>
      <c r="J205" s="2010"/>
      <c r="K205" s="1385"/>
      <c r="L205" s="1997"/>
      <c r="M205" s="1997"/>
      <c r="N205" s="1520"/>
      <c r="O205" s="1520"/>
      <c r="P205" s="2056"/>
      <c r="Q205" s="2056"/>
      <c r="R205" s="2056"/>
      <c r="S205" s="2056"/>
      <c r="T205" s="2056"/>
      <c r="U205" s="2056"/>
      <c r="V205" s="2056"/>
      <c r="W205" s="2056"/>
      <c r="X205" s="2056"/>
      <c r="Y205" s="2056"/>
      <c r="Z205" s="2056"/>
      <c r="AA205" s="2056"/>
      <c r="AB205" s="2056"/>
      <c r="AC205" s="2056"/>
      <c r="AD205" s="2056"/>
      <c r="AE205" s="2056"/>
      <c r="AF205" s="2056"/>
      <c r="AG205" s="2056"/>
      <c r="AH205" s="2056"/>
      <c r="AI205" s="2057"/>
    </row>
    <row r="206" spans="1:63" s="1658" customFormat="1" ht="11.25" customHeight="1">
      <c r="D206" s="2368"/>
      <c r="E206" s="2041"/>
      <c r="F206" s="2041"/>
      <c r="G206" s="2058"/>
      <c r="H206" s="1375"/>
      <c r="I206" s="1379"/>
      <c r="J206" s="2054"/>
      <c r="K206" s="2054"/>
      <c r="L206" s="2054"/>
      <c r="M206" s="2054"/>
      <c r="N206" s="2054"/>
      <c r="O206" s="2054"/>
      <c r="P206" s="2054"/>
      <c r="Q206" s="2054"/>
      <c r="R206" s="2054"/>
      <c r="S206" s="2054"/>
      <c r="T206" s="2054"/>
      <c r="U206" s="2054"/>
      <c r="V206" s="2054"/>
      <c r="W206" s="2054"/>
      <c r="X206" s="2054"/>
      <c r="Y206" s="2054"/>
      <c r="Z206" s="2054"/>
      <c r="AA206" s="2054"/>
      <c r="AB206" s="2054"/>
      <c r="AC206" s="2054"/>
      <c r="AD206" s="2054"/>
      <c r="AE206" s="2054"/>
      <c r="AF206" s="2054"/>
      <c r="AG206" s="2054"/>
      <c r="AH206" s="2054"/>
      <c r="AI206" s="2055"/>
      <c r="BK206" s="1351"/>
    </row>
    <row r="207" spans="1:63" ht="17.25" customHeight="1">
      <c r="A207" s="1581"/>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840" customWidth="1"/>
    <col min="2" max="2" width="11" style="1841" customWidth="1"/>
    <col min="3" max="3" width="9.140625" style="1841"/>
    <col min="4" max="4" width="26.5703125" style="1841" customWidth="1"/>
    <col min="5" max="5" width="27.7109375" style="1838" customWidth="1"/>
    <col min="6" max="6" width="23.5703125" style="1838" customWidth="1"/>
    <col min="7" max="7" width="31.42578125" style="1838" customWidth="1"/>
    <col min="8" max="8" width="40.85546875" style="1838" customWidth="1"/>
    <col min="9" max="9" width="14.5703125" style="1838" customWidth="1"/>
    <col min="10" max="10" width="26.85546875" style="1838" customWidth="1"/>
    <col min="11" max="11" width="50" style="1838" customWidth="1"/>
    <col min="12" max="12" width="52.42578125" style="1838" customWidth="1"/>
    <col min="13" max="13" width="10.7109375" style="1838" customWidth="1"/>
    <col min="14" max="14" width="55.140625" style="1838" customWidth="1"/>
    <col min="15" max="15" width="31.85546875" style="1838" customWidth="1"/>
    <col min="16" max="16" width="23.85546875" style="1838" customWidth="1"/>
    <col min="17" max="17" width="46.5703125" style="1838" customWidth="1"/>
    <col min="18" max="18" width="24" style="1838" customWidth="1"/>
    <col min="19" max="19" width="20.5703125" style="1838" customWidth="1"/>
    <col min="20" max="20" width="22" style="1838" customWidth="1"/>
    <col min="21" max="22" width="26.42578125" style="1838" customWidth="1"/>
    <col min="23" max="23" width="8.28515625" style="1838" hidden="1" customWidth="1"/>
    <col min="24" max="24" width="59.7109375" style="1838" customWidth="1"/>
    <col min="25" max="25" width="49.140625" style="1838" customWidth="1"/>
    <col min="26" max="26" width="11.140625" style="1838" customWidth="1"/>
    <col min="27" max="30" width="29" style="1838" customWidth="1"/>
    <col min="31" max="31" width="9.140625" style="1838"/>
    <col min="32" max="32" width="34.7109375" style="1838" customWidth="1"/>
    <col min="33" max="33" width="9.140625" style="1838"/>
    <col min="34" max="35" width="34.42578125" style="1838" customWidth="1"/>
    <col min="36" max="36" width="9.140625" style="1838"/>
    <col min="37" max="37" width="24.5703125" style="1838" customWidth="1"/>
    <col min="38" max="38" width="9.140625" style="1838"/>
    <col min="39" max="39" width="26.140625" style="1838" customWidth="1"/>
    <col min="40" max="40" width="1.7109375" style="1838" customWidth="1"/>
    <col min="41" max="41" width="9.140625" style="1838"/>
    <col min="42" max="43" width="47.85546875" style="1838" customWidth="1"/>
    <col min="44" max="44" width="1.7109375" style="1838" customWidth="1"/>
    <col min="45" max="45" width="21.42578125" style="1838" customWidth="1"/>
    <col min="46" max="46" width="1.7109375" style="1838" customWidth="1"/>
    <col min="47" max="47" width="31.28515625" style="1838" customWidth="1"/>
    <col min="48" max="48" width="1.7109375" style="1838" customWidth="1"/>
    <col min="49" max="50" width="9.140625" style="1842"/>
    <col min="51" max="51" width="3.7109375" style="1838" customWidth="1"/>
    <col min="52" max="52" width="55" style="1838" customWidth="1"/>
    <col min="53" max="53" width="9.140625" style="1838"/>
    <col min="54" max="54" width="35.140625" style="1838" customWidth="1"/>
    <col min="55" max="55" width="9.140625" style="1838"/>
    <col min="56" max="56" width="1.7109375" style="1838" customWidth="1"/>
    <col min="57" max="57" width="12.5703125" style="1843" customWidth="1"/>
    <col min="58" max="58" width="14.28515625" style="1843" customWidth="1"/>
    <col min="59" max="59" width="30.7109375" style="1838" customWidth="1"/>
    <col min="60" max="60" width="40.7109375" style="1837" customWidth="1"/>
    <col min="61" max="61" width="15" style="1837" customWidth="1"/>
    <col min="62" max="62" width="40.7109375" style="1837" customWidth="1"/>
    <col min="63" max="63" width="2.7109375" style="1837" customWidth="1"/>
    <col min="64" max="64" width="44.7109375" style="1837" customWidth="1"/>
    <col min="65" max="65" width="2.7109375" style="1837" customWidth="1"/>
    <col min="66" max="66" width="40.7109375" style="1837" customWidth="1"/>
    <col min="67" max="68" width="9.140625" style="1838"/>
    <col min="69" max="69" width="18.140625" style="1838" customWidth="1"/>
    <col min="70" max="70" width="57.85546875" style="1838" customWidth="1"/>
    <col min="71" max="71" width="1.7109375" style="1839" customWidth="1"/>
    <col min="72" max="72" width="22.5703125" style="1838" customWidth="1"/>
    <col min="73" max="73" width="57.85546875" style="1838" customWidth="1"/>
    <col min="74" max="74" width="1.7109375" style="1838" customWidth="1"/>
    <col min="75" max="75" width="22.5703125" style="1838" customWidth="1"/>
    <col min="76" max="76" width="57.85546875" style="1838" customWidth="1"/>
    <col min="77" max="77" width="1.7109375" style="1838" customWidth="1"/>
    <col min="78" max="78" width="22.5703125" style="1838" customWidth="1"/>
    <col min="79" max="79" width="57.85546875" style="1838" customWidth="1"/>
    <col min="80" max="81" width="9.140625" style="1838"/>
    <col min="82" max="82" width="49.5703125" style="1838" customWidth="1"/>
  </cols>
  <sheetData>
    <row r="1" spans="1:79" s="1836" customFormat="1" ht="11.25" customHeight="1">
      <c r="A1" s="842" t="s">
        <v>1090</v>
      </c>
      <c r="B1" s="842" t="s">
        <v>1091</v>
      </c>
      <c r="C1" s="842" t="s">
        <v>1092</v>
      </c>
      <c r="D1" s="842" t="s">
        <v>1093</v>
      </c>
      <c r="E1" s="842" t="s">
        <v>1094</v>
      </c>
      <c r="F1" s="842" t="s">
        <v>1095</v>
      </c>
      <c r="G1" s="842" t="s">
        <v>1096</v>
      </c>
      <c r="H1" s="842" t="s">
        <v>1097</v>
      </c>
      <c r="I1" s="842" t="s">
        <v>1098</v>
      </c>
      <c r="J1" s="842" t="s">
        <v>1099</v>
      </c>
      <c r="K1" s="842" t="s">
        <v>1100</v>
      </c>
      <c r="L1" s="842" t="s">
        <v>1101</v>
      </c>
      <c r="M1" s="842"/>
      <c r="N1" s="842" t="s">
        <v>1102</v>
      </c>
      <c r="O1" s="842" t="s">
        <v>1103</v>
      </c>
      <c r="P1" s="842" t="s">
        <v>1104</v>
      </c>
      <c r="Q1" s="842" t="s">
        <v>1105</v>
      </c>
      <c r="R1" s="842" t="s">
        <v>1106</v>
      </c>
      <c r="S1" s="842" t="s">
        <v>1107</v>
      </c>
      <c r="T1" s="842" t="s">
        <v>1108</v>
      </c>
      <c r="U1" s="842" t="s">
        <v>1109</v>
      </c>
      <c r="V1" s="842"/>
      <c r="W1" s="606" t="s">
        <v>1110</v>
      </c>
      <c r="X1" s="842" t="s">
        <v>1111</v>
      </c>
      <c r="Y1" s="842" t="s">
        <v>1112</v>
      </c>
      <c r="Z1" s="842"/>
      <c r="AA1" s="842" t="s">
        <v>1113</v>
      </c>
      <c r="AB1" s="842"/>
      <c r="AC1" s="842" t="s">
        <v>1114</v>
      </c>
      <c r="AD1" s="842"/>
      <c r="AF1" s="842" t="s">
        <v>1115</v>
      </c>
      <c r="AH1" s="842" t="s">
        <v>1116</v>
      </c>
      <c r="AI1" s="842" t="s">
        <v>1117</v>
      </c>
      <c r="AK1" s="842" t="s">
        <v>1118</v>
      </c>
      <c r="AM1" s="842" t="s">
        <v>1119</v>
      </c>
      <c r="AP1" s="842" t="s">
        <v>1120</v>
      </c>
      <c r="AQ1" s="842" t="s">
        <v>1121</v>
      </c>
      <c r="AS1" s="842" t="s">
        <v>1122</v>
      </c>
      <c r="AU1" s="842" t="s">
        <v>1123</v>
      </c>
      <c r="AW1" s="842" t="s">
        <v>1124</v>
      </c>
      <c r="AX1" s="842" t="s">
        <v>1125</v>
      </c>
      <c r="AZ1" s="921" t="s">
        <v>1126</v>
      </c>
      <c r="BB1" s="842" t="s">
        <v>1127</v>
      </c>
      <c r="BC1" s="842"/>
      <c r="BE1" s="842" t="s">
        <v>1128</v>
      </c>
      <c r="BF1" s="842" t="s">
        <v>1129</v>
      </c>
      <c r="BH1" s="844" t="s">
        <v>641</v>
      </c>
      <c r="BI1" s="845"/>
      <c r="BJ1" s="846" t="s">
        <v>1130</v>
      </c>
      <c r="BK1" s="845"/>
      <c r="BL1" s="847" t="s">
        <v>739</v>
      </c>
      <c r="BM1" s="845"/>
      <c r="BN1" s="848" t="s">
        <v>1131</v>
      </c>
      <c r="BS1" s="1202"/>
    </row>
    <row r="2" spans="1:79" ht="11.25" customHeight="1">
      <c r="A2" s="849" t="s">
        <v>1132</v>
      </c>
      <c r="B2" s="850">
        <v>2000</v>
      </c>
      <c r="C2" s="850">
        <v>2022</v>
      </c>
      <c r="D2" s="850" t="s">
        <v>16</v>
      </c>
      <c r="E2" s="851" t="s">
        <v>1133</v>
      </c>
      <c r="F2" s="851" t="s">
        <v>1134</v>
      </c>
      <c r="G2" s="851" t="s">
        <v>1135</v>
      </c>
      <c r="H2" s="852" t="s">
        <v>14</v>
      </c>
      <c r="I2" s="851" t="s">
        <v>43</v>
      </c>
      <c r="J2" s="851" t="s">
        <v>1136</v>
      </c>
      <c r="K2" s="853" t="s">
        <v>1137</v>
      </c>
      <c r="L2" s="854"/>
      <c r="M2" s="853">
        <v>1</v>
      </c>
      <c r="N2" s="931" t="s">
        <v>1138</v>
      </c>
      <c r="O2" s="852" t="s">
        <v>1139</v>
      </c>
      <c r="P2" s="855" t="s">
        <v>5</v>
      </c>
      <c r="Q2" s="856" t="s">
        <v>1140</v>
      </c>
      <c r="R2" s="50" t="s">
        <v>1141</v>
      </c>
      <c r="S2" s="50" t="s">
        <v>1142</v>
      </c>
      <c r="T2" s="857" t="s">
        <v>1143</v>
      </c>
      <c r="U2" s="854" t="s">
        <v>1144</v>
      </c>
      <c r="V2" s="858">
        <v>1</v>
      </c>
      <c r="W2" s="859"/>
      <c r="X2" s="859" t="s">
        <v>1145</v>
      </c>
      <c r="Y2" s="850" t="s">
        <v>1146</v>
      </c>
      <c r="Z2" s="860"/>
      <c r="AA2" s="850" t="s">
        <v>1147</v>
      </c>
      <c r="AB2" s="861" t="s">
        <v>1147</v>
      </c>
      <c r="AC2" s="850" t="s">
        <v>1148</v>
      </c>
      <c r="AD2" s="861" t="s">
        <v>1148</v>
      </c>
      <c r="AF2" s="852" t="s">
        <v>1144</v>
      </c>
      <c r="AH2" s="851" t="s">
        <v>1149</v>
      </c>
      <c r="AI2" s="851" t="s">
        <v>1149</v>
      </c>
      <c r="AK2" s="851" t="s">
        <v>1150</v>
      </c>
      <c r="AM2" s="851" t="s">
        <v>1151</v>
      </c>
      <c r="AP2" s="862" t="s">
        <v>1145</v>
      </c>
      <c r="AQ2" s="863" t="s">
        <v>1145</v>
      </c>
      <c r="AS2" s="850" t="s">
        <v>1152</v>
      </c>
      <c r="AU2" s="893" t="s">
        <v>1153</v>
      </c>
      <c r="AW2" s="893" t="s">
        <v>1154</v>
      </c>
      <c r="AX2" s="893" t="s">
        <v>1154</v>
      </c>
      <c r="AZ2" s="893" t="s">
        <v>13</v>
      </c>
      <c r="BB2" s="893" t="s">
        <v>1155</v>
      </c>
      <c r="BC2" s="893" t="s">
        <v>1156</v>
      </c>
      <c r="BE2" s="893">
        <v>2000</v>
      </c>
      <c r="BF2" s="893" t="s">
        <v>1157</v>
      </c>
    </row>
    <row r="3" spans="1:79" ht="11.25" customHeight="1">
      <c r="A3" s="849" t="s">
        <v>1158</v>
      </c>
      <c r="B3" s="850">
        <v>2001</v>
      </c>
      <c r="C3" s="850">
        <v>2023</v>
      </c>
      <c r="D3" s="850" t="s">
        <v>15</v>
      </c>
      <c r="E3" s="851" t="s">
        <v>1159</v>
      </c>
      <c r="F3" s="851" t="s">
        <v>1160</v>
      </c>
      <c r="G3" s="851" t="s">
        <v>1161</v>
      </c>
      <c r="H3" s="852" t="s">
        <v>1162</v>
      </c>
      <c r="I3" s="851" t="s">
        <v>44</v>
      </c>
      <c r="J3" s="851" t="s">
        <v>474</v>
      </c>
      <c r="K3" s="853" t="s">
        <v>1163</v>
      </c>
      <c r="L3" s="854">
        <f>IFERROR(MATCH(K3,OFFER_METHOD,0),0)</f>
        <v>0</v>
      </c>
      <c r="M3" s="853">
        <v>2</v>
      </c>
      <c r="N3" s="931" t="s">
        <v>1164</v>
      </c>
      <c r="O3" s="852" t="s">
        <v>1165</v>
      </c>
      <c r="P3" s="855" t="s">
        <v>1166</v>
      </c>
      <c r="Q3" s="856" t="s">
        <v>1167</v>
      </c>
      <c r="R3" s="50" t="s">
        <v>1168</v>
      </c>
      <c r="S3" s="50" t="s">
        <v>1169</v>
      </c>
      <c r="T3" s="857" t="s">
        <v>1170</v>
      </c>
      <c r="U3" s="854" t="s">
        <v>1171</v>
      </c>
      <c r="V3" s="858">
        <v>2</v>
      </c>
      <c r="W3" s="859"/>
      <c r="X3" s="859" t="s">
        <v>1172</v>
      </c>
      <c r="Y3" s="850" t="s">
        <v>1146</v>
      </c>
      <c r="Z3" s="860"/>
      <c r="AA3" s="850" t="s">
        <v>1173</v>
      </c>
      <c r="AB3" s="861" t="s">
        <v>1173</v>
      </c>
      <c r="AC3" s="850" t="s">
        <v>1174</v>
      </c>
      <c r="AD3" s="861" t="s">
        <v>1174</v>
      </c>
      <c r="AF3" s="852" t="s">
        <v>1171</v>
      </c>
      <c r="AH3" s="851" t="s">
        <v>1175</v>
      </c>
      <c r="AI3" s="851" t="s">
        <v>1176</v>
      </c>
      <c r="AK3" s="851" t="s">
        <v>1177</v>
      </c>
      <c r="AM3" s="851" t="s">
        <v>1178</v>
      </c>
      <c r="AP3" s="862" t="s">
        <v>1179</v>
      </c>
      <c r="AQ3" s="863" t="s">
        <v>1179</v>
      </c>
      <c r="AS3" s="850" t="s">
        <v>1180</v>
      </c>
      <c r="AU3" s="893" t="s">
        <v>1181</v>
      </c>
      <c r="AW3" s="893" t="s">
        <v>1182</v>
      </c>
      <c r="AX3" s="893" t="s">
        <v>1182</v>
      </c>
      <c r="AZ3" s="893" t="s">
        <v>1183</v>
      </c>
      <c r="BB3" s="893" t="s">
        <v>1184</v>
      </c>
      <c r="BC3" s="893" t="s">
        <v>1156</v>
      </c>
      <c r="BE3" s="893">
        <v>2001</v>
      </c>
      <c r="BF3" s="893" t="s">
        <v>1185</v>
      </c>
      <c r="BH3" s="842" t="s">
        <v>1186</v>
      </c>
      <c r="BJ3" s="842" t="s">
        <v>1187</v>
      </c>
      <c r="BL3" s="842" t="s">
        <v>1188</v>
      </c>
      <c r="BN3" s="842" t="s">
        <v>1189</v>
      </c>
      <c r="BR3" s="842" t="s">
        <v>1190</v>
      </c>
      <c r="BS3" s="1203"/>
      <c r="BT3" s="845"/>
      <c r="BU3" s="842" t="s">
        <v>1191</v>
      </c>
      <c r="BV3" s="845"/>
      <c r="BW3" s="1458"/>
      <c r="BX3" s="1460" t="s">
        <v>1192</v>
      </c>
      <c r="CA3" s="842" t="s">
        <v>1193</v>
      </c>
    </row>
    <row r="4" spans="1:79" ht="11.25" customHeight="1">
      <c r="A4" s="849" t="s">
        <v>1194</v>
      </c>
      <c r="B4" s="850">
        <v>2002</v>
      </c>
      <c r="C4" s="850">
        <v>2024</v>
      </c>
      <c r="E4" s="851" t="s">
        <v>1195</v>
      </c>
      <c r="F4" s="851" t="s">
        <v>4</v>
      </c>
      <c r="H4" s="852" t="s">
        <v>1196</v>
      </c>
      <c r="I4" s="851" t="s">
        <v>24</v>
      </c>
      <c r="J4" s="851" t="s">
        <v>1197</v>
      </c>
      <c r="K4" s="853" t="s">
        <v>1198</v>
      </c>
      <c r="L4" s="854">
        <f>IFERROR(MATCH(K4,OFFER_METHOD,0),0)</f>
        <v>0</v>
      </c>
      <c r="M4" s="853">
        <v>3</v>
      </c>
      <c r="N4" s="931" t="s">
        <v>1199</v>
      </c>
      <c r="O4" s="851" t="s">
        <v>1200</v>
      </c>
      <c r="Q4" s="856" t="s">
        <v>1201</v>
      </c>
      <c r="R4" s="50" t="s">
        <v>1202</v>
      </c>
      <c r="S4" s="50" t="s">
        <v>1203</v>
      </c>
      <c r="T4" s="857" t="s">
        <v>1204</v>
      </c>
      <c r="U4" s="854" t="s">
        <v>1205</v>
      </c>
      <c r="V4" s="858">
        <v>3</v>
      </c>
      <c r="W4" s="859"/>
      <c r="X4" s="859" t="s">
        <v>1206</v>
      </c>
      <c r="Y4" s="850" t="s">
        <v>1146</v>
      </c>
      <c r="Z4" s="865"/>
      <c r="AC4" s="850" t="s">
        <v>1207</v>
      </c>
      <c r="AD4" s="861" t="s">
        <v>1207</v>
      </c>
      <c r="AF4" s="852" t="s">
        <v>1205</v>
      </c>
      <c r="AH4" s="852" t="s">
        <v>1208</v>
      </c>
      <c r="AK4" s="851" t="s">
        <v>1209</v>
      </c>
      <c r="AM4" s="851" t="s">
        <v>1210</v>
      </c>
      <c r="AP4" s="862" t="s">
        <v>1172</v>
      </c>
      <c r="AQ4" s="863" t="s">
        <v>1172</v>
      </c>
      <c r="AS4" s="850" t="s">
        <v>1211</v>
      </c>
      <c r="AU4" s="893" t="s">
        <v>1212</v>
      </c>
      <c r="AW4" s="893" t="s">
        <v>1213</v>
      </c>
      <c r="AX4" s="893" t="s">
        <v>1213</v>
      </c>
      <c r="AZ4" s="893" t="s">
        <v>1214</v>
      </c>
      <c r="BB4" s="893" t="s">
        <v>1215</v>
      </c>
      <c r="BC4" s="893" t="s">
        <v>1216</v>
      </c>
      <c r="BE4" s="893">
        <v>2002</v>
      </c>
      <c r="BF4" s="893" t="s">
        <v>1217</v>
      </c>
      <c r="BH4" s="843" t="s">
        <v>1218</v>
      </c>
      <c r="BJ4" s="843" t="s">
        <v>1218</v>
      </c>
      <c r="BL4" s="843" t="s">
        <v>1218</v>
      </c>
      <c r="BN4" s="843" t="s">
        <v>1218</v>
      </c>
      <c r="BQ4" s="1207" t="s">
        <v>1219</v>
      </c>
      <c r="BR4" s="928" t="s">
        <v>1220</v>
      </c>
      <c r="BS4" s="150"/>
      <c r="BT4" s="1207" t="s">
        <v>1221</v>
      </c>
      <c r="BU4" s="928" t="s">
        <v>1222</v>
      </c>
      <c r="BV4" s="845"/>
      <c r="BW4" s="1465" t="s">
        <v>1223</v>
      </c>
      <c r="BX4" s="1459" t="s">
        <v>1224</v>
      </c>
      <c r="BZ4" s="1207" t="s">
        <v>1225</v>
      </c>
      <c r="CA4" s="928" t="s">
        <v>1226</v>
      </c>
    </row>
    <row r="5" spans="1:79" ht="11.25" customHeight="1">
      <c r="A5" s="849" t="s">
        <v>1227</v>
      </c>
      <c r="B5" s="850">
        <v>2003</v>
      </c>
      <c r="C5" s="850">
        <v>2025</v>
      </c>
      <c r="E5" s="851" t="s">
        <v>1228</v>
      </c>
      <c r="F5" s="851" t="s">
        <v>1229</v>
      </c>
      <c r="H5" s="852" t="s">
        <v>1230</v>
      </c>
      <c r="I5" s="851" t="s">
        <v>25</v>
      </c>
      <c r="K5" s="853" t="s">
        <v>1231</v>
      </c>
      <c r="L5" s="854">
        <f>IFERROR(MATCH(K5,OFFER_METHOD,0),0)</f>
        <v>0</v>
      </c>
      <c r="M5" s="853">
        <v>4</v>
      </c>
      <c r="N5" s="866" t="s">
        <v>1232</v>
      </c>
      <c r="O5" s="851" t="s">
        <v>1233</v>
      </c>
      <c r="Q5" s="856" t="s">
        <v>1234</v>
      </c>
      <c r="R5" s="50" t="s">
        <v>1235</v>
      </c>
      <c r="T5" s="852" t="s">
        <v>1236</v>
      </c>
      <c r="U5" s="854" t="s">
        <v>1237</v>
      </c>
      <c r="V5" s="858">
        <v>4</v>
      </c>
      <c r="W5" s="859"/>
      <c r="X5" s="859" t="s">
        <v>104</v>
      </c>
      <c r="Y5" s="850" t="s">
        <v>1238</v>
      </c>
      <c r="Z5" s="865">
        <v>1</v>
      </c>
      <c r="AF5" s="852" t="s">
        <v>1239</v>
      </c>
      <c r="AH5" s="851" t="s">
        <v>1240</v>
      </c>
      <c r="AK5" s="851" t="s">
        <v>1241</v>
      </c>
      <c r="AM5" s="851" t="s">
        <v>1242</v>
      </c>
      <c r="AP5" s="862" t="s">
        <v>104</v>
      </c>
      <c r="AQ5" s="863" t="s">
        <v>104</v>
      </c>
      <c r="AU5" s="893" t="s">
        <v>1243</v>
      </c>
      <c r="AW5" s="893" t="s">
        <v>1244</v>
      </c>
      <c r="AX5" s="893" t="s">
        <v>1244</v>
      </c>
      <c r="AZ5" s="893" t="s">
        <v>1245</v>
      </c>
      <c r="BB5" s="893" t="s">
        <v>1246</v>
      </c>
      <c r="BC5" s="893" t="s">
        <v>1247</v>
      </c>
      <c r="BE5" s="893">
        <v>2003</v>
      </c>
      <c r="BF5" s="893" t="s">
        <v>1248</v>
      </c>
      <c r="BH5" s="843" t="s">
        <v>1249</v>
      </c>
      <c r="BJ5" s="843" t="s">
        <v>1249</v>
      </c>
      <c r="BL5" s="843" t="s">
        <v>1249</v>
      </c>
      <c r="BN5" s="843" t="s">
        <v>1250</v>
      </c>
      <c r="BQ5" s="1065">
        <v>4213775</v>
      </c>
      <c r="BR5" s="843" t="s">
        <v>1145</v>
      </c>
      <c r="BS5" s="1204"/>
      <c r="BT5" s="1065">
        <v>64236871</v>
      </c>
      <c r="BU5" s="843" t="s">
        <v>153</v>
      </c>
      <c r="BV5" s="845"/>
      <c r="BW5" s="1463">
        <v>4213767</v>
      </c>
      <c r="BX5" s="1461" t="s">
        <v>1251</v>
      </c>
      <c r="BZ5" s="1065">
        <v>64237509</v>
      </c>
      <c r="CA5" s="1078" t="s">
        <v>1252</v>
      </c>
    </row>
    <row r="6" spans="1:79" ht="11.25" customHeight="1">
      <c r="A6" s="849" t="s">
        <v>1253</v>
      </c>
      <c r="B6" s="850">
        <v>2004</v>
      </c>
      <c r="C6" s="850">
        <v>2026</v>
      </c>
      <c r="E6" s="851" t="s">
        <v>1254</v>
      </c>
      <c r="F6" s="867"/>
      <c r="H6" s="852" t="s">
        <v>1255</v>
      </c>
      <c r="I6" s="851" t="s">
        <v>45</v>
      </c>
      <c r="J6" s="842" t="s">
        <v>1256</v>
      </c>
      <c r="L6" s="854">
        <f>SUM(kind_of_control_method_filter)</f>
        <v>0</v>
      </c>
      <c r="N6" s="866" t="s">
        <v>1257</v>
      </c>
      <c r="O6" s="851" t="s">
        <v>1258</v>
      </c>
      <c r="R6" s="50" t="s">
        <v>1140</v>
      </c>
      <c r="T6" s="852" t="s">
        <v>1259</v>
      </c>
      <c r="U6" s="854" t="s">
        <v>1239</v>
      </c>
      <c r="V6" s="858">
        <v>5</v>
      </c>
      <c r="W6" s="859"/>
      <c r="X6" s="850" t="s">
        <v>110</v>
      </c>
      <c r="Y6" s="850" t="s">
        <v>1260</v>
      </c>
      <c r="Z6" s="865"/>
      <c r="AA6" s="868"/>
      <c r="AH6" s="851" t="s">
        <v>1261</v>
      </c>
      <c r="AK6" s="851" t="s">
        <v>1262</v>
      </c>
      <c r="AM6" s="851" t="s">
        <v>1263</v>
      </c>
      <c r="AP6" s="862" t="s">
        <v>110</v>
      </c>
      <c r="AQ6" s="863" t="s">
        <v>110</v>
      </c>
      <c r="AU6" s="893" t="s">
        <v>1264</v>
      </c>
      <c r="AW6" s="893" t="s">
        <v>1265</v>
      </c>
      <c r="AX6" s="893" t="s">
        <v>1265</v>
      </c>
      <c r="BB6" s="893" t="s">
        <v>1266</v>
      </c>
      <c r="BC6" s="893" t="s">
        <v>1247</v>
      </c>
      <c r="BE6" s="893">
        <v>2004</v>
      </c>
      <c r="BF6" s="893" t="s">
        <v>1267</v>
      </c>
      <c r="BH6" s="843" t="s">
        <v>1268</v>
      </c>
      <c r="BJ6" s="843" t="s">
        <v>1269</v>
      </c>
      <c r="BL6" s="843" t="s">
        <v>1269</v>
      </c>
      <c r="BN6" s="843" t="s">
        <v>1270</v>
      </c>
      <c r="BQ6" s="1065">
        <v>4213784</v>
      </c>
      <c r="BR6" s="1078" t="s">
        <v>1179</v>
      </c>
      <c r="BS6" s="1205"/>
      <c r="BT6" s="1065">
        <v>64236872</v>
      </c>
      <c r="BU6" s="843" t="s">
        <v>158</v>
      </c>
      <c r="BV6" s="845"/>
      <c r="BW6" s="1463">
        <v>4213768</v>
      </c>
      <c r="BX6" s="1461" t="s">
        <v>178</v>
      </c>
      <c r="BZ6" s="1065">
        <v>64237510</v>
      </c>
      <c r="CA6" s="843" t="s">
        <v>1271</v>
      </c>
    </row>
    <row r="7" spans="1:79" ht="11.25" customHeight="1">
      <c r="A7" s="849" t="s">
        <v>1272</v>
      </c>
      <c r="B7" s="850">
        <v>2005</v>
      </c>
      <c r="E7" s="851" t="s">
        <v>1273</v>
      </c>
      <c r="F7" s="867"/>
      <c r="H7" s="852" t="s">
        <v>1274</v>
      </c>
      <c r="I7" s="851" t="s">
        <v>26</v>
      </c>
      <c r="J7" s="851" t="s">
        <v>1275</v>
      </c>
      <c r="N7" s="870" t="s">
        <v>1276</v>
      </c>
      <c r="O7" s="851" t="s">
        <v>1277</v>
      </c>
      <c r="U7" s="854" t="s">
        <v>15</v>
      </c>
      <c r="V7" s="254" t="s">
        <v>26</v>
      </c>
      <c r="W7" s="859"/>
      <c r="X7" s="850" t="s">
        <v>116</v>
      </c>
      <c r="Y7" s="850" t="s">
        <v>1238</v>
      </c>
      <c r="Z7" s="865"/>
      <c r="AA7" s="868"/>
      <c r="AH7" s="851" t="s">
        <v>1278</v>
      </c>
      <c r="AK7" s="851" t="s">
        <v>1279</v>
      </c>
      <c r="AM7" s="851" t="s">
        <v>1280</v>
      </c>
      <c r="AP7" s="862" t="s">
        <v>116</v>
      </c>
      <c r="AQ7" s="863" t="s">
        <v>116</v>
      </c>
      <c r="AU7" s="893" t="s">
        <v>1281</v>
      </c>
      <c r="AW7" s="893" t="s">
        <v>1282</v>
      </c>
      <c r="AX7" s="893" t="s">
        <v>1282</v>
      </c>
      <c r="AZ7" s="842" t="s">
        <v>1283</v>
      </c>
      <c r="BB7" s="893" t="s">
        <v>1284</v>
      </c>
      <c r="BC7" s="893" t="s">
        <v>1247</v>
      </c>
      <c r="BE7" s="893">
        <v>2005</v>
      </c>
      <c r="BF7" s="893" t="s">
        <v>1285</v>
      </c>
      <c r="BH7" s="843" t="s">
        <v>1286</v>
      </c>
      <c r="BJ7" s="843" t="s">
        <v>1268</v>
      </c>
      <c r="BL7" s="843" t="s">
        <v>1268</v>
      </c>
      <c r="BN7" s="843" t="s">
        <v>1287</v>
      </c>
      <c r="BQ7" s="1065">
        <v>4213781</v>
      </c>
      <c r="BR7" s="843" t="s">
        <v>1172</v>
      </c>
      <c r="BS7" s="1204"/>
      <c r="BT7" s="1065">
        <v>64236873</v>
      </c>
      <c r="BU7" s="843" t="s">
        <v>163</v>
      </c>
      <c r="BV7" s="845"/>
      <c r="BW7" s="1463">
        <v>4213769</v>
      </c>
      <c r="BX7" s="1461" t="s">
        <v>1288</v>
      </c>
      <c r="BZ7" s="1065">
        <v>64237511</v>
      </c>
      <c r="CA7" s="843" t="s">
        <v>193</v>
      </c>
    </row>
    <row r="8" spans="1:79" ht="11.25" customHeight="1">
      <c r="A8" s="849" t="s">
        <v>1289</v>
      </c>
      <c r="B8" s="850">
        <v>2006</v>
      </c>
      <c r="E8" s="851" t="s">
        <v>1290</v>
      </c>
      <c r="F8" s="867"/>
      <c r="I8" s="851" t="s">
        <v>27</v>
      </c>
      <c r="J8" s="851" t="s">
        <v>1291</v>
      </c>
      <c r="N8" s="932" t="s">
        <v>1292</v>
      </c>
      <c r="O8" s="851" t="s">
        <v>1293</v>
      </c>
      <c r="V8" s="254" t="s">
        <v>27</v>
      </c>
      <c r="W8" s="859"/>
      <c r="X8" s="850" t="s">
        <v>122</v>
      </c>
      <c r="Y8" s="850" t="s">
        <v>1238</v>
      </c>
      <c r="Z8" s="865"/>
      <c r="AA8" s="868"/>
      <c r="AK8" s="851" t="s">
        <v>1294</v>
      </c>
      <c r="AP8" s="862" t="s">
        <v>122</v>
      </c>
      <c r="AQ8" s="863" t="s">
        <v>122</v>
      </c>
      <c r="AU8" s="893" t="s">
        <v>1295</v>
      </c>
      <c r="AW8" s="893" t="s">
        <v>1296</v>
      </c>
      <c r="AX8" s="893" t="s">
        <v>1296</v>
      </c>
      <c r="AZ8" s="893" t="s">
        <v>1297</v>
      </c>
      <c r="BB8" s="893" t="s">
        <v>1298</v>
      </c>
      <c r="BC8" s="893" t="s">
        <v>1247</v>
      </c>
      <c r="BE8" s="893">
        <v>2006</v>
      </c>
      <c r="BF8" s="893" t="s">
        <v>1299</v>
      </c>
      <c r="BH8" s="843" t="s">
        <v>1300</v>
      </c>
      <c r="BJ8" s="843" t="s">
        <v>1301</v>
      </c>
      <c r="BL8" s="843" t="s">
        <v>1301</v>
      </c>
      <c r="BN8" s="843" t="s">
        <v>1302</v>
      </c>
      <c r="BQ8" s="1065">
        <v>4213776</v>
      </c>
      <c r="BR8" s="843" t="s">
        <v>104</v>
      </c>
      <c r="BS8" s="1204"/>
      <c r="BT8" s="1065">
        <v>64236874</v>
      </c>
      <c r="BU8" s="1078" t="s">
        <v>1303</v>
      </c>
      <c r="BV8" s="845"/>
      <c r="BW8" s="1463">
        <v>4213770</v>
      </c>
      <c r="BX8" s="1464" t="s">
        <v>1304</v>
      </c>
      <c r="BZ8" s="1065">
        <v>64237512</v>
      </c>
      <c r="CA8" s="843" t="s">
        <v>188</v>
      </c>
    </row>
    <row r="9" spans="1:79" ht="11.25" customHeight="1">
      <c r="A9" s="849" t="s">
        <v>1305</v>
      </c>
      <c r="B9" s="850">
        <v>2007</v>
      </c>
      <c r="E9" s="851" t="s">
        <v>1306</v>
      </c>
      <c r="F9" s="867"/>
      <c r="G9" s="842" t="s">
        <v>1307</v>
      </c>
      <c r="H9" s="842" t="s">
        <v>1308</v>
      </c>
      <c r="I9" s="851" t="s">
        <v>46</v>
      </c>
      <c r="O9" s="851" t="s">
        <v>1309</v>
      </c>
      <c r="V9" s="254" t="s">
        <v>46</v>
      </c>
      <c r="W9" s="859"/>
      <c r="X9" s="850" t="s">
        <v>128</v>
      </c>
      <c r="Y9" s="850" t="s">
        <v>1146</v>
      </c>
      <c r="Z9" s="865">
        <v>1</v>
      </c>
      <c r="AA9" s="868"/>
      <c r="AK9" s="851" t="s">
        <v>1310</v>
      </c>
      <c r="AP9" s="862" t="s">
        <v>1311</v>
      </c>
      <c r="AQ9" s="863" t="s">
        <v>1311</v>
      </c>
      <c r="AW9" s="893" t="s">
        <v>1312</v>
      </c>
      <c r="AX9" s="893" t="s">
        <v>1312</v>
      </c>
      <c r="AZ9" s="893" t="s">
        <v>1313</v>
      </c>
      <c r="BB9" s="893" t="s">
        <v>1314</v>
      </c>
      <c r="BC9" s="893" t="s">
        <v>1247</v>
      </c>
      <c r="BE9" s="893">
        <v>2007</v>
      </c>
      <c r="BF9" s="893" t="s">
        <v>1315</v>
      </c>
      <c r="BH9" s="843" t="s">
        <v>1316</v>
      </c>
      <c r="BJ9" s="843" t="s">
        <v>1317</v>
      </c>
      <c r="BL9" s="843" t="s">
        <v>1317</v>
      </c>
      <c r="BN9" s="843" t="s">
        <v>1318</v>
      </c>
      <c r="BQ9" s="1065">
        <v>4213777</v>
      </c>
      <c r="BR9" s="843" t="s">
        <v>110</v>
      </c>
      <c r="BS9" s="1204"/>
      <c r="BT9" s="1065">
        <v>64236875</v>
      </c>
      <c r="BU9" s="843" t="s">
        <v>168</v>
      </c>
      <c r="BV9" s="845"/>
      <c r="BW9" s="1458"/>
      <c r="BX9" s="1458"/>
    </row>
    <row r="10" spans="1:79" ht="11.25" customHeight="1">
      <c r="A10" s="849" t="s">
        <v>1319</v>
      </c>
      <c r="B10" s="850">
        <v>2008</v>
      </c>
      <c r="E10" s="851" t="s">
        <v>1320</v>
      </c>
      <c r="F10" s="867"/>
      <c r="G10" s="851" t="s">
        <v>1321</v>
      </c>
      <c r="H10" s="851" t="s">
        <v>1322</v>
      </c>
      <c r="I10" s="851" t="s">
        <v>86</v>
      </c>
      <c r="J10" s="842" t="s">
        <v>1323</v>
      </c>
      <c r="K10" s="842" t="s">
        <v>1324</v>
      </c>
      <c r="O10" s="851" t="s">
        <v>1325</v>
      </c>
      <c r="V10" s="255" t="s">
        <v>86</v>
      </c>
      <c r="W10" s="871"/>
      <c r="X10" s="871" t="s">
        <v>1326</v>
      </c>
      <c r="Y10" s="872" t="s">
        <v>1327</v>
      </c>
      <c r="Z10" s="865"/>
      <c r="AP10" s="862" t="s">
        <v>1326</v>
      </c>
      <c r="AQ10" s="863" t="s">
        <v>1326</v>
      </c>
      <c r="AW10" s="893" t="s">
        <v>1328</v>
      </c>
      <c r="AX10" s="893" t="s">
        <v>1328</v>
      </c>
      <c r="AZ10" s="893" t="s">
        <v>1329</v>
      </c>
      <c r="BB10" s="893" t="s">
        <v>1330</v>
      </c>
      <c r="BC10" s="893" t="s">
        <v>1247</v>
      </c>
      <c r="BE10" s="893">
        <v>2008</v>
      </c>
      <c r="BF10" s="893" t="s">
        <v>1331</v>
      </c>
      <c r="BH10" s="843" t="s">
        <v>1332</v>
      </c>
      <c r="BJ10" s="843" t="s">
        <v>1333</v>
      </c>
      <c r="BL10" s="843" t="s">
        <v>1333</v>
      </c>
      <c r="BN10" s="843" t="s">
        <v>1334</v>
      </c>
      <c r="BQ10" s="1065">
        <v>4213778</v>
      </c>
      <c r="BR10" s="843" t="s">
        <v>116</v>
      </c>
      <c r="BS10" s="1204"/>
      <c r="BT10" s="1065">
        <v>64236876</v>
      </c>
      <c r="BU10" s="843" t="s">
        <v>148</v>
      </c>
      <c r="BV10" s="845"/>
      <c r="BW10" s="1458"/>
      <c r="BX10" s="1458"/>
    </row>
    <row r="11" spans="1:79" ht="11.25" customHeight="1">
      <c r="A11" s="849" t="s">
        <v>1335</v>
      </c>
      <c r="B11" s="850">
        <v>2009</v>
      </c>
      <c r="E11" s="851" t="s">
        <v>1336</v>
      </c>
      <c r="F11" s="867"/>
      <c r="G11" s="851" t="s">
        <v>1337</v>
      </c>
      <c r="H11" s="851" t="s">
        <v>1338</v>
      </c>
      <c r="I11" s="851" t="s">
        <v>87</v>
      </c>
      <c r="J11" s="852" t="s">
        <v>1339</v>
      </c>
      <c r="K11" s="873" t="s">
        <v>1340</v>
      </c>
      <c r="O11" s="852" t="s">
        <v>1341</v>
      </c>
      <c r="V11" s="254" t="s">
        <v>87</v>
      </c>
      <c r="W11" s="151"/>
      <c r="X11" s="859" t="s">
        <v>1311</v>
      </c>
      <c r="Y11" s="850" t="s">
        <v>1342</v>
      </c>
      <c r="Z11" s="865"/>
      <c r="AP11" s="862" t="s">
        <v>128</v>
      </c>
      <c r="AQ11" s="864" t="s">
        <v>128</v>
      </c>
      <c r="AW11" s="893" t="s">
        <v>1343</v>
      </c>
      <c r="AX11" s="893" t="s">
        <v>1343</v>
      </c>
      <c r="AZ11" s="893" t="s">
        <v>1344</v>
      </c>
      <c r="BB11" s="893" t="s">
        <v>1345</v>
      </c>
      <c r="BC11" s="893" t="s">
        <v>1247</v>
      </c>
      <c r="BE11" s="893">
        <v>2009</v>
      </c>
      <c r="BF11" s="893" t="s">
        <v>1346</v>
      </c>
      <c r="BH11" s="843" t="s">
        <v>1347</v>
      </c>
      <c r="BJ11" s="843" t="s">
        <v>1316</v>
      </c>
      <c r="BL11" s="843" t="s">
        <v>1316</v>
      </c>
      <c r="BN11" s="843" t="s">
        <v>1348</v>
      </c>
      <c r="BQ11" s="1065">
        <v>4213780</v>
      </c>
      <c r="BR11" s="843" t="s">
        <v>122</v>
      </c>
      <c r="BS11" s="1204"/>
      <c r="BW11" s="1458"/>
      <c r="BX11" s="1458"/>
    </row>
    <row r="12" spans="1:79" ht="11.25" customHeight="1">
      <c r="A12" s="849" t="s">
        <v>1349</v>
      </c>
      <c r="B12" s="850">
        <v>2010</v>
      </c>
      <c r="E12" s="851" t="s">
        <v>1350</v>
      </c>
      <c r="F12" s="867"/>
      <c r="G12" s="851" t="s">
        <v>1338</v>
      </c>
      <c r="I12" s="851" t="s">
        <v>88</v>
      </c>
      <c r="J12" s="852" t="s">
        <v>1351</v>
      </c>
      <c r="K12" s="873" t="s">
        <v>1352</v>
      </c>
      <c r="O12" s="852" t="s">
        <v>1140</v>
      </c>
      <c r="V12" s="254" t="s">
        <v>88</v>
      </c>
      <c r="W12" s="864"/>
      <c r="X12" s="859" t="s">
        <v>1353</v>
      </c>
      <c r="Y12" s="850" t="s">
        <v>1146</v>
      </c>
      <c r="AP12" s="862"/>
      <c r="AW12" s="893" t="s">
        <v>87</v>
      </c>
      <c r="AX12" s="893" t="s">
        <v>87</v>
      </c>
      <c r="AZ12" s="893" t="s">
        <v>1354</v>
      </c>
      <c r="BB12" s="893" t="s">
        <v>1355</v>
      </c>
      <c r="BC12" s="893" t="s">
        <v>1247</v>
      </c>
      <c r="BE12" s="893">
        <v>2010</v>
      </c>
      <c r="BF12" s="893" t="s">
        <v>1356</v>
      </c>
      <c r="BH12" s="843" t="s">
        <v>1357</v>
      </c>
      <c r="BJ12" s="843" t="s">
        <v>1358</v>
      </c>
      <c r="BL12" s="843" t="s">
        <v>1358</v>
      </c>
      <c r="BN12" s="843" t="s">
        <v>1359</v>
      </c>
      <c r="BQ12" s="1065">
        <v>4213779</v>
      </c>
      <c r="BR12" s="843" t="s">
        <v>1311</v>
      </c>
      <c r="BS12" s="1204"/>
      <c r="BT12" s="845"/>
      <c r="BU12" s="845"/>
      <c r="BV12" s="845"/>
      <c r="BW12" s="1458"/>
      <c r="BX12" s="1458"/>
    </row>
    <row r="13" spans="1:79" ht="11.25" customHeight="1">
      <c r="A13" s="849" t="s">
        <v>1360</v>
      </c>
      <c r="B13" s="850">
        <v>2011</v>
      </c>
      <c r="E13" s="851" t="s">
        <v>1361</v>
      </c>
      <c r="F13" s="867"/>
      <c r="I13" s="851" t="s">
        <v>89</v>
      </c>
      <c r="K13" s="873" t="s">
        <v>1310</v>
      </c>
      <c r="V13" s="254" t="s">
        <v>89</v>
      </c>
      <c r="W13" s="864"/>
      <c r="X13" s="864"/>
      <c r="Y13" s="864"/>
      <c r="AW13" s="893" t="s">
        <v>88</v>
      </c>
      <c r="AX13" s="893" t="s">
        <v>88</v>
      </c>
      <c r="BB13" s="893" t="s">
        <v>1362</v>
      </c>
      <c r="BC13" s="893" t="s">
        <v>1363</v>
      </c>
      <c r="BE13" s="893">
        <v>2011</v>
      </c>
      <c r="BF13" s="893" t="s">
        <v>1364</v>
      </c>
      <c r="BH13" s="843" t="s">
        <v>1365</v>
      </c>
      <c r="BJ13" s="843" t="s">
        <v>1347</v>
      </c>
      <c r="BL13" s="843" t="s">
        <v>1347</v>
      </c>
      <c r="BN13" s="843" t="s">
        <v>1366</v>
      </c>
      <c r="BQ13" s="1065">
        <v>4213783</v>
      </c>
      <c r="BR13" s="843" t="s">
        <v>1326</v>
      </c>
      <c r="BS13" s="1204"/>
      <c r="BT13" s="845"/>
      <c r="BU13" s="845"/>
      <c r="BV13" s="845"/>
      <c r="BW13" s="1462"/>
      <c r="BX13" s="1458"/>
    </row>
    <row r="14" spans="1:79" ht="11.25" customHeight="1">
      <c r="A14" s="849" t="s">
        <v>1367</v>
      </c>
      <c r="B14" s="850">
        <v>2012</v>
      </c>
      <c r="I14" s="851" t="s">
        <v>90</v>
      </c>
      <c r="J14" s="842" t="s">
        <v>1368</v>
      </c>
      <c r="N14" s="842" t="s">
        <v>1369</v>
      </c>
      <c r="V14" s="858">
        <v>13</v>
      </c>
      <c r="W14" s="859"/>
      <c r="X14" s="859" t="s">
        <v>1179</v>
      </c>
      <c r="Y14" s="850" t="s">
        <v>1146</v>
      </c>
      <c r="AW14" s="893" t="s">
        <v>89</v>
      </c>
      <c r="AX14" s="893" t="s">
        <v>89</v>
      </c>
      <c r="AZ14" s="842" t="s">
        <v>1370</v>
      </c>
      <c r="BB14" s="893" t="s">
        <v>1371</v>
      </c>
      <c r="BC14" s="893" t="s">
        <v>1363</v>
      </c>
      <c r="BE14" s="893">
        <v>2012</v>
      </c>
      <c r="BH14" s="843" t="s">
        <v>1287</v>
      </c>
      <c r="BJ14" s="988" t="s">
        <v>1372</v>
      </c>
      <c r="BL14" s="988" t="s">
        <v>1372</v>
      </c>
      <c r="BN14" s="843" t="s">
        <v>1373</v>
      </c>
      <c r="BQ14" s="1065">
        <v>4213782</v>
      </c>
      <c r="BR14" s="843" t="s">
        <v>128</v>
      </c>
      <c r="BS14" s="1204"/>
      <c r="BT14" s="845"/>
      <c r="BU14" s="845"/>
      <c r="BV14" s="845"/>
      <c r="BW14" s="1462"/>
      <c r="BX14" s="1458"/>
    </row>
    <row r="15" spans="1:79" ht="19.5" customHeight="1">
      <c r="A15" s="849" t="s">
        <v>1374</v>
      </c>
      <c r="B15" s="850">
        <v>2013</v>
      </c>
      <c r="E15" s="1466" t="s">
        <v>1375</v>
      </c>
      <c r="G15" s="842" t="s">
        <v>1376</v>
      </c>
      <c r="H15" s="842" t="s">
        <v>1377</v>
      </c>
      <c r="I15" s="853" t="s">
        <v>91</v>
      </c>
      <c r="J15" s="864" t="s">
        <v>501</v>
      </c>
      <c r="N15" s="927" t="s">
        <v>1378</v>
      </c>
      <c r="X15" s="862"/>
      <c r="AW15" s="893" t="s">
        <v>90</v>
      </c>
      <c r="AX15" s="893" t="s">
        <v>90</v>
      </c>
      <c r="AZ15" s="893" t="s">
        <v>1297</v>
      </c>
      <c r="BB15" s="893" t="s">
        <v>1379</v>
      </c>
      <c r="BC15" s="893" t="s">
        <v>1363</v>
      </c>
      <c r="BE15" s="893">
        <v>2013</v>
      </c>
      <c r="BH15" s="843" t="s">
        <v>1302</v>
      </c>
      <c r="BJ15" s="988" t="s">
        <v>1380</v>
      </c>
      <c r="BL15" s="988" t="s">
        <v>1380</v>
      </c>
      <c r="BN15" s="843" t="s">
        <v>1381</v>
      </c>
      <c r="BR15" s="845"/>
      <c r="BS15" s="1206"/>
      <c r="BT15" s="845"/>
      <c r="BU15" s="845"/>
      <c r="BV15" s="845"/>
      <c r="BW15" s="1462"/>
      <c r="BX15" s="1458"/>
    </row>
    <row r="16" spans="1:79" ht="21" customHeight="1">
      <c r="A16" s="1602" t="s">
        <v>1382</v>
      </c>
      <c r="B16" s="850">
        <v>2014</v>
      </c>
      <c r="E16" s="1467" t="s">
        <v>1383</v>
      </c>
      <c r="G16" s="851" t="s">
        <v>1384</v>
      </c>
      <c r="H16" s="851" t="s">
        <v>1385</v>
      </c>
      <c r="I16" s="853" t="s">
        <v>1386</v>
      </c>
      <c r="J16" s="864" t="s">
        <v>474</v>
      </c>
      <c r="N16" s="927" t="s">
        <v>1387</v>
      </c>
      <c r="AW16" s="893" t="s">
        <v>91</v>
      </c>
      <c r="AX16" s="893" t="s">
        <v>91</v>
      </c>
      <c r="AZ16" s="893" t="s">
        <v>1313</v>
      </c>
      <c r="BB16" s="893" t="s">
        <v>1388</v>
      </c>
      <c r="BC16" s="893" t="s">
        <v>1363</v>
      </c>
      <c r="BE16" s="893">
        <v>2014</v>
      </c>
      <c r="BH16" s="843" t="s">
        <v>1318</v>
      </c>
      <c r="BJ16" s="988" t="s">
        <v>1389</v>
      </c>
      <c r="BL16" s="988" t="s">
        <v>1389</v>
      </c>
      <c r="BN16" s="843" t="s">
        <v>1390</v>
      </c>
      <c r="BR16" s="845"/>
      <c r="BS16" s="1206"/>
      <c r="BT16" s="845"/>
      <c r="BU16" s="845"/>
      <c r="BV16" s="845"/>
      <c r="BW16" s="1462"/>
      <c r="BX16" s="1458"/>
    </row>
    <row r="17" spans="1:82" ht="21" customHeight="1">
      <c r="A17" s="849" t="s">
        <v>1391</v>
      </c>
      <c r="B17" s="850">
        <v>2015</v>
      </c>
      <c r="G17" s="851" t="s">
        <v>1338</v>
      </c>
      <c r="H17" s="851" t="s">
        <v>1338</v>
      </c>
      <c r="I17" s="851" t="s">
        <v>1392</v>
      </c>
      <c r="N17" s="927" t="s">
        <v>1393</v>
      </c>
      <c r="X17" s="862"/>
      <c r="AW17" s="893" t="s">
        <v>1386</v>
      </c>
      <c r="AX17" s="893" t="s">
        <v>1386</v>
      </c>
      <c r="AZ17" s="893" t="s">
        <v>1394</v>
      </c>
      <c r="BB17" s="893" t="s">
        <v>1395</v>
      </c>
      <c r="BC17" s="893" t="s">
        <v>1247</v>
      </c>
      <c r="BE17" s="893">
        <v>2015</v>
      </c>
      <c r="BH17" s="843" t="s">
        <v>1334</v>
      </c>
      <c r="BJ17" s="988" t="s">
        <v>1396</v>
      </c>
      <c r="BL17" s="988" t="s">
        <v>1396</v>
      </c>
      <c r="BN17" s="843" t="s">
        <v>1397</v>
      </c>
      <c r="BR17" s="842" t="s">
        <v>1190</v>
      </c>
      <c r="BS17" s="1203"/>
      <c r="BU17" s="842" t="s">
        <v>1398</v>
      </c>
      <c r="BV17" s="845"/>
      <c r="BW17" s="1458"/>
      <c r="BX17" s="1460" t="s">
        <v>1399</v>
      </c>
      <c r="CA17" s="842" t="s">
        <v>1400</v>
      </c>
      <c r="CD17" s="842" t="s">
        <v>1401</v>
      </c>
    </row>
    <row r="18" spans="1:82" ht="21" customHeight="1">
      <c r="A18" s="849" t="s">
        <v>1402</v>
      </c>
      <c r="B18" s="850">
        <v>2016</v>
      </c>
      <c r="I18" s="851" t="s">
        <v>1403</v>
      </c>
      <c r="N18" s="927" t="s">
        <v>1404</v>
      </c>
      <c r="X18" s="862"/>
      <c r="AW18" s="893" t="s">
        <v>1392</v>
      </c>
      <c r="AX18" s="893" t="s">
        <v>1392</v>
      </c>
      <c r="BB18" s="893" t="s">
        <v>1405</v>
      </c>
      <c r="BC18" s="893" t="s">
        <v>1247</v>
      </c>
      <c r="BE18" s="893">
        <v>2016</v>
      </c>
      <c r="BH18" s="843" t="s">
        <v>1348</v>
      </c>
      <c r="BJ18" s="988" t="s">
        <v>1406</v>
      </c>
      <c r="BL18" s="988" t="s">
        <v>1406</v>
      </c>
      <c r="BN18" s="843" t="s">
        <v>1407</v>
      </c>
      <c r="BQ18" s="1207" t="s">
        <v>1219</v>
      </c>
      <c r="BR18" s="928" t="s">
        <v>1220</v>
      </c>
      <c r="BS18" s="150"/>
      <c r="BT18" s="1207" t="s">
        <v>1408</v>
      </c>
      <c r="BU18" s="928" t="s">
        <v>1409</v>
      </c>
      <c r="BV18" s="845"/>
      <c r="BW18" s="1465" t="s">
        <v>1410</v>
      </c>
      <c r="BX18" s="1459" t="s">
        <v>1411</v>
      </c>
      <c r="BZ18" s="1207" t="s">
        <v>1412</v>
      </c>
      <c r="CA18" s="928" t="s">
        <v>1413</v>
      </c>
      <c r="CC18" s="1207" t="s">
        <v>1414</v>
      </c>
      <c r="CD18" s="928" t="s">
        <v>1415</v>
      </c>
    </row>
    <row r="19" spans="1:82" ht="21" customHeight="1">
      <c r="A19" s="1602" t="s">
        <v>1416</v>
      </c>
      <c r="B19" s="850">
        <v>2017</v>
      </c>
      <c r="I19" s="851" t="s">
        <v>1417</v>
      </c>
      <c r="N19" s="927" t="s">
        <v>1418</v>
      </c>
      <c r="X19" s="862"/>
      <c r="AW19" s="893" t="s">
        <v>1403</v>
      </c>
      <c r="AX19" s="893" t="s">
        <v>1403</v>
      </c>
      <c r="AZ19" s="842" t="s">
        <v>1419</v>
      </c>
      <c r="BB19" s="893" t="s">
        <v>1420</v>
      </c>
      <c r="BC19" s="893" t="s">
        <v>1247</v>
      </c>
      <c r="BE19" s="893">
        <v>2017</v>
      </c>
      <c r="BH19" s="843" t="s">
        <v>1421</v>
      </c>
      <c r="BJ19" s="988" t="s">
        <v>1422</v>
      </c>
      <c r="BL19" s="988" t="s">
        <v>1422</v>
      </c>
      <c r="BQ19" s="1065">
        <v>4190064</v>
      </c>
      <c r="BR19" s="843" t="s">
        <v>1423</v>
      </c>
      <c r="BS19" s="1204"/>
      <c r="BT19" s="1065">
        <v>4189671</v>
      </c>
      <c r="BU19" s="843" t="s">
        <v>1424</v>
      </c>
      <c r="BV19" s="845"/>
      <c r="BW19" s="1463">
        <v>4189706</v>
      </c>
      <c r="BX19" s="1461" t="s">
        <v>1425</v>
      </c>
      <c r="BZ19" s="1065">
        <v>4189714</v>
      </c>
      <c r="CA19" s="843" t="s">
        <v>1426</v>
      </c>
      <c r="CC19" s="1065">
        <v>4189708</v>
      </c>
      <c r="CD19" s="843" t="s">
        <v>1427</v>
      </c>
    </row>
    <row r="20" spans="1:82" ht="21" customHeight="1">
      <c r="A20" s="849" t="s">
        <v>1428</v>
      </c>
      <c r="B20" s="850">
        <v>2018</v>
      </c>
      <c r="I20" s="851" t="s">
        <v>1429</v>
      </c>
      <c r="N20" s="927" t="s">
        <v>1430</v>
      </c>
      <c r="AW20" s="893" t="s">
        <v>1417</v>
      </c>
      <c r="AX20" s="893" t="s">
        <v>1417</v>
      </c>
      <c r="AZ20" s="893" t="s">
        <v>1431</v>
      </c>
      <c r="BB20" s="893" t="s">
        <v>1432</v>
      </c>
      <c r="BC20" s="893" t="s">
        <v>1363</v>
      </c>
      <c r="BE20" s="893">
        <v>2018</v>
      </c>
      <c r="BH20" s="843" t="s">
        <v>1359</v>
      </c>
      <c r="BJ20" s="843" t="s">
        <v>1287</v>
      </c>
      <c r="BL20" s="843" t="s">
        <v>1287</v>
      </c>
      <c r="BQ20" s="1065">
        <v>4190065</v>
      </c>
      <c r="BR20" s="843" t="s">
        <v>1433</v>
      </c>
      <c r="BS20" s="1204"/>
      <c r="BT20" s="1065">
        <v>4189672</v>
      </c>
      <c r="BU20" s="843" t="s">
        <v>1434</v>
      </c>
      <c r="BV20" s="845"/>
      <c r="BW20" s="1463">
        <v>4189705</v>
      </c>
      <c r="BX20" s="1461" t="s">
        <v>1435</v>
      </c>
      <c r="BZ20" s="1065">
        <v>4189713</v>
      </c>
      <c r="CA20" s="843" t="s">
        <v>1435</v>
      </c>
      <c r="CC20" s="1065">
        <v>4189709</v>
      </c>
      <c r="CD20" s="843" t="s">
        <v>1436</v>
      </c>
    </row>
    <row r="21" spans="1:82" ht="21" customHeight="1">
      <c r="A21" s="849" t="s">
        <v>1437</v>
      </c>
      <c r="B21" s="850">
        <v>2019</v>
      </c>
      <c r="I21" s="851" t="s">
        <v>1438</v>
      </c>
      <c r="N21" s="927" t="s">
        <v>1439</v>
      </c>
      <c r="AW21" s="893" t="s">
        <v>1429</v>
      </c>
      <c r="AX21" s="893" t="s">
        <v>1429</v>
      </c>
      <c r="AZ21" s="893" t="s">
        <v>1440</v>
      </c>
      <c r="BB21" s="893" t="s">
        <v>1441</v>
      </c>
      <c r="BC21" s="893" t="s">
        <v>1247</v>
      </c>
      <c r="BE21" s="893">
        <v>2019</v>
      </c>
      <c r="BH21" s="843" t="s">
        <v>1366</v>
      </c>
      <c r="BJ21" s="843" t="s">
        <v>1302</v>
      </c>
      <c r="BL21" s="843" t="s">
        <v>1302</v>
      </c>
      <c r="BQ21" s="1065">
        <v>4190066</v>
      </c>
      <c r="BR21" s="843" t="s">
        <v>1442</v>
      </c>
      <c r="BS21" s="1204"/>
      <c r="BT21" s="1065">
        <v>4189673</v>
      </c>
      <c r="BU21" s="843" t="s">
        <v>1443</v>
      </c>
      <c r="BV21" s="845"/>
      <c r="BW21" s="1463">
        <v>4189707</v>
      </c>
      <c r="BX21" s="1461" t="s">
        <v>1444</v>
      </c>
      <c r="BZ21" s="1065">
        <v>4189712</v>
      </c>
      <c r="CA21" s="843" t="s">
        <v>1445</v>
      </c>
      <c r="CC21" s="1065">
        <v>4189710</v>
      </c>
      <c r="CD21" s="843" t="s">
        <v>1446</v>
      </c>
    </row>
    <row r="22" spans="1:82" ht="21" customHeight="1">
      <c r="A22" s="849" t="s">
        <v>1447</v>
      </c>
      <c r="B22" s="850">
        <v>2020</v>
      </c>
      <c r="N22" s="927" t="s">
        <v>1448</v>
      </c>
      <c r="AW22" s="893" t="s">
        <v>1438</v>
      </c>
      <c r="AX22" s="893" t="s">
        <v>1438</v>
      </c>
      <c r="AZ22" s="893" t="s">
        <v>1449</v>
      </c>
      <c r="BB22" s="893" t="s">
        <v>1450</v>
      </c>
      <c r="BC22" s="893" t="s">
        <v>1247</v>
      </c>
      <c r="BE22" s="893">
        <v>2020</v>
      </c>
      <c r="BH22" s="843" t="s">
        <v>1373</v>
      </c>
      <c r="BJ22" s="843" t="s">
        <v>1318</v>
      </c>
      <c r="BL22" s="843" t="s">
        <v>1318</v>
      </c>
      <c r="BQ22" s="1065">
        <v>4190067</v>
      </c>
      <c r="BR22" s="843" t="s">
        <v>1451</v>
      </c>
      <c r="BS22" s="1204"/>
      <c r="BT22" s="1065">
        <v>4189674</v>
      </c>
      <c r="BU22" s="843" t="s">
        <v>1452</v>
      </c>
      <c r="BV22" s="845"/>
      <c r="BW22" s="845"/>
      <c r="CC22" s="1065">
        <v>4189711</v>
      </c>
      <c r="CD22" s="843" t="s">
        <v>217</v>
      </c>
    </row>
    <row r="23" spans="1:82" ht="21" customHeight="1">
      <c r="A23" s="849" t="s">
        <v>1453</v>
      </c>
      <c r="B23" s="850">
        <v>2021</v>
      </c>
      <c r="AW23" s="893" t="s">
        <v>1454</v>
      </c>
      <c r="AX23" s="893" t="s">
        <v>1454</v>
      </c>
      <c r="AZ23" s="893" t="s">
        <v>1455</v>
      </c>
      <c r="BB23" s="893" t="s">
        <v>1456</v>
      </c>
      <c r="BC23" s="893" t="s">
        <v>1156</v>
      </c>
      <c r="BE23" s="893">
        <v>2021</v>
      </c>
      <c r="BH23" s="843" t="s">
        <v>1381</v>
      </c>
      <c r="BJ23" s="843" t="s">
        <v>1334</v>
      </c>
      <c r="BL23" s="843" t="s">
        <v>1334</v>
      </c>
      <c r="BQ23" s="1065">
        <v>4190068</v>
      </c>
      <c r="BR23" s="843" t="s">
        <v>1457</v>
      </c>
      <c r="BS23" s="1204"/>
      <c r="BT23" s="1065">
        <v>4189675</v>
      </c>
      <c r="BU23" s="843" t="s">
        <v>1458</v>
      </c>
      <c r="BV23" s="845"/>
      <c r="BW23" s="845"/>
      <c r="CC23" s="1065">
        <v>5110778</v>
      </c>
      <c r="CD23" s="843" t="s">
        <v>1459</v>
      </c>
    </row>
    <row r="24" spans="1:82" ht="21" customHeight="1">
      <c r="A24" s="849" t="s">
        <v>1460</v>
      </c>
      <c r="B24" s="850">
        <v>2022</v>
      </c>
      <c r="AW24" s="893" t="s">
        <v>1461</v>
      </c>
      <c r="AX24" s="893" t="s">
        <v>1461</v>
      </c>
      <c r="AZ24" s="893" t="s">
        <v>1462</v>
      </c>
      <c r="BB24" s="893" t="s">
        <v>1463</v>
      </c>
      <c r="BC24" s="893" t="s">
        <v>1464</v>
      </c>
      <c r="BE24" s="893">
        <v>2022</v>
      </c>
      <c r="BH24" s="843" t="s">
        <v>1390</v>
      </c>
      <c r="BJ24" s="843" t="s">
        <v>1348</v>
      </c>
      <c r="BL24" s="843" t="s">
        <v>1348</v>
      </c>
      <c r="BQ24" s="1065">
        <v>4190069</v>
      </c>
      <c r="BR24" s="843" t="s">
        <v>1465</v>
      </c>
      <c r="BS24" s="1204"/>
      <c r="BT24" s="1065">
        <v>4189676</v>
      </c>
      <c r="BU24" s="843" t="s">
        <v>1466</v>
      </c>
      <c r="BV24" s="845"/>
      <c r="BW24" s="845"/>
      <c r="CC24" s="1065">
        <v>25575374</v>
      </c>
      <c r="CD24" s="843" t="s">
        <v>1467</v>
      </c>
    </row>
    <row r="25" spans="1:82" ht="11.25" customHeight="1">
      <c r="A25" s="849" t="s">
        <v>1468</v>
      </c>
      <c r="B25" s="850">
        <v>2023</v>
      </c>
      <c r="AW25" s="893" t="s">
        <v>1469</v>
      </c>
      <c r="AX25" s="893" t="s">
        <v>1469</v>
      </c>
      <c r="AZ25" s="893" t="s">
        <v>1470</v>
      </c>
      <c r="BB25" s="893" t="s">
        <v>1471</v>
      </c>
      <c r="BC25" s="893" t="s">
        <v>1464</v>
      </c>
      <c r="BE25" s="893">
        <v>2023</v>
      </c>
      <c r="BH25" s="843" t="s">
        <v>1397</v>
      </c>
      <c r="BJ25" s="843" t="s">
        <v>1421</v>
      </c>
      <c r="BL25" s="843" t="s">
        <v>1421</v>
      </c>
      <c r="BQ25" s="1065">
        <v>4190070</v>
      </c>
      <c r="BR25" s="843" t="s">
        <v>1472</v>
      </c>
      <c r="BS25" s="1204"/>
      <c r="BT25" s="1065">
        <v>4189677</v>
      </c>
      <c r="BU25" s="843" t="s">
        <v>1473</v>
      </c>
      <c r="BV25" s="845"/>
      <c r="BW25" s="845"/>
    </row>
    <row r="26" spans="1:82" ht="11.25" customHeight="1">
      <c r="A26" s="849" t="s">
        <v>1474</v>
      </c>
      <c r="B26" s="850">
        <v>2024</v>
      </c>
      <c r="J26" s="1471" t="s">
        <v>1475</v>
      </c>
      <c r="AX26" s="893" t="s">
        <v>1476</v>
      </c>
      <c r="AZ26" s="893" t="s">
        <v>1341</v>
      </c>
      <c r="BB26" s="893" t="s">
        <v>1477</v>
      </c>
      <c r="BC26" s="893" t="s">
        <v>1464</v>
      </c>
      <c r="BE26" s="893">
        <v>2024</v>
      </c>
      <c r="BH26" s="843" t="s">
        <v>1407</v>
      </c>
      <c r="BJ26" s="843" t="s">
        <v>1359</v>
      </c>
      <c r="BL26" s="843" t="s">
        <v>1359</v>
      </c>
      <c r="BQ26" s="1065">
        <v>4190071</v>
      </c>
      <c r="BR26" s="843" t="s">
        <v>1478</v>
      </c>
      <c r="BS26" s="1204"/>
      <c r="BV26" s="845"/>
      <c r="BW26" s="845"/>
    </row>
    <row r="27" spans="1:82" ht="11.25" customHeight="1">
      <c r="A27" s="849" t="s">
        <v>1479</v>
      </c>
      <c r="B27" s="850">
        <v>2025</v>
      </c>
      <c r="J27" s="76" t="s">
        <v>56</v>
      </c>
      <c r="AX27" s="893" t="s">
        <v>1480</v>
      </c>
      <c r="BB27" s="893" t="s">
        <v>1481</v>
      </c>
      <c r="BC27" s="893" t="s">
        <v>1464</v>
      </c>
      <c r="BE27" s="893">
        <v>2025</v>
      </c>
      <c r="BH27" s="845" t="s">
        <v>1</v>
      </c>
      <c r="BJ27" s="843" t="s">
        <v>1366</v>
      </c>
      <c r="BL27" s="843" t="s">
        <v>1366</v>
      </c>
      <c r="BN27" s="845" t="s">
        <v>1</v>
      </c>
      <c r="BQ27" s="1065">
        <v>4190072</v>
      </c>
      <c r="BR27" s="843" t="s">
        <v>1482</v>
      </c>
      <c r="BS27" s="1204"/>
      <c r="BV27" s="845"/>
      <c r="BW27" s="845"/>
    </row>
    <row r="28" spans="1:82" ht="11.25" customHeight="1">
      <c r="A28" s="849" t="s">
        <v>1483</v>
      </c>
      <c r="D28" s="874"/>
      <c r="E28" s="875"/>
      <c r="F28" s="875"/>
      <c r="H28" s="876" t="s">
        <v>1484</v>
      </c>
      <c r="AX28" s="893" t="s">
        <v>1485</v>
      </c>
      <c r="AZ28" s="842" t="s">
        <v>1486</v>
      </c>
      <c r="BB28" s="893" t="s">
        <v>1487</v>
      </c>
      <c r="BC28" s="893" t="s">
        <v>1488</v>
      </c>
      <c r="BE28" s="893">
        <v>2026</v>
      </c>
      <c r="BH28" s="845" t="s">
        <v>1</v>
      </c>
      <c r="BJ28" s="843" t="s">
        <v>1373</v>
      </c>
      <c r="BL28" s="843" t="s">
        <v>1373</v>
      </c>
      <c r="BN28" s="845" t="s">
        <v>1</v>
      </c>
      <c r="BQ28" s="1065">
        <v>4190073</v>
      </c>
      <c r="BR28" s="843" t="s">
        <v>1489</v>
      </c>
      <c r="BS28" s="1204"/>
      <c r="BV28" s="845"/>
      <c r="BW28" s="845"/>
    </row>
    <row r="29" spans="1:82" ht="11.25" customHeight="1">
      <c r="A29" s="849" t="s">
        <v>1490</v>
      </c>
      <c r="D29" s="877" t="s">
        <v>1491</v>
      </c>
      <c r="E29" s="878" t="e">
        <f>IF(TEMPLATE_GROUP="","",INDEX(StartDateList,MATCH(TEMPLATE_GROUP,CodeTemplateList,0),1))</f>
        <v>#REF!</v>
      </c>
      <c r="F29" s="878" t="e">
        <f>IF(TEMPLATE_GROUP="","",INDEX(EndDateList,MATCH(TEMPLATE_GROUP,CodeTemplateList,0),1))</f>
        <v>#REF!</v>
      </c>
      <c r="H29" s="879" t="s">
        <v>1492</v>
      </c>
      <c r="AX29" s="893" t="s">
        <v>1493</v>
      </c>
      <c r="AZ29" s="893" t="s">
        <v>1141</v>
      </c>
      <c r="BB29" s="893" t="s">
        <v>1341</v>
      </c>
      <c r="BC29" s="865"/>
      <c r="BE29" s="893">
        <v>2027</v>
      </c>
      <c r="BJ29" s="843" t="s">
        <v>1381</v>
      </c>
      <c r="BL29" s="843" t="s">
        <v>1381</v>
      </c>
    </row>
    <row r="30" spans="1:82" ht="11.25" customHeight="1">
      <c r="A30" s="849" t="s">
        <v>1494</v>
      </c>
      <c r="D30" s="880"/>
      <c r="E30" s="881"/>
      <c r="F30" s="881"/>
      <c r="AX30" s="893" t="s">
        <v>1495</v>
      </c>
      <c r="AZ30" s="893" t="s">
        <v>1168</v>
      </c>
      <c r="BE30" s="893">
        <v>2028</v>
      </c>
      <c r="BJ30" s="843" t="s">
        <v>1496</v>
      </c>
      <c r="BL30" s="843" t="s">
        <v>1496</v>
      </c>
    </row>
    <row r="31" spans="1:82" ht="12.75" customHeight="1">
      <c r="A31" s="849" t="s">
        <v>1497</v>
      </c>
      <c r="D31" s="874"/>
      <c r="E31" s="875"/>
      <c r="F31" s="875"/>
      <c r="H31" s="882"/>
      <c r="AX31" s="893" t="s">
        <v>1498</v>
      </c>
      <c r="AZ31" s="893" t="s">
        <v>1499</v>
      </c>
      <c r="BE31" s="893">
        <v>2029</v>
      </c>
      <c r="BJ31" s="843" t="s">
        <v>1500</v>
      </c>
      <c r="BL31" s="843" t="s">
        <v>1500</v>
      </c>
    </row>
    <row r="32" spans="1:82" ht="11.25" customHeight="1">
      <c r="A32" s="849" t="s">
        <v>1501</v>
      </c>
      <c r="D32" s="877" t="s">
        <v>1502</v>
      </c>
      <c r="E32" s="878" t="e">
        <f>IF(TEMPLATE_GROUP="","",INDEX(StartDateList,MATCH(TEMPLATE_GROUP,CodeTemplateList,0),1))</f>
        <v>#REF!</v>
      </c>
      <c r="F32" s="878" t="e">
        <f>IF(TEMPLATE_GROUP="","",INDEX(EndDateList,MATCH(TEMPLATE_GROUP,CodeTemplateList,0),1))</f>
        <v>#REF!</v>
      </c>
      <c r="H32" s="883" t="s">
        <v>1503</v>
      </c>
      <c r="O32" s="849" t="s">
        <v>1139</v>
      </c>
      <c r="AX32" s="893" t="s">
        <v>1504</v>
      </c>
      <c r="AZ32" s="893" t="s">
        <v>1235</v>
      </c>
      <c r="BE32" s="893">
        <v>2030</v>
      </c>
      <c r="BJ32" s="843" t="s">
        <v>1390</v>
      </c>
      <c r="BL32" s="843" t="s">
        <v>1390</v>
      </c>
    </row>
    <row r="33" spans="1:66" ht="11.25" customHeight="1">
      <c r="A33" s="849" t="s">
        <v>1505</v>
      </c>
      <c r="O33" s="849" t="s">
        <v>1165</v>
      </c>
      <c r="AX33" s="893" t="s">
        <v>1506</v>
      </c>
      <c r="AZ33" s="893" t="s">
        <v>1140</v>
      </c>
      <c r="BE33" s="893">
        <v>2031</v>
      </c>
      <c r="BJ33" s="843" t="s">
        <v>1397</v>
      </c>
      <c r="BL33" s="843" t="s">
        <v>1397</v>
      </c>
    </row>
    <row r="34" spans="1:66" ht="11.25" customHeight="1">
      <c r="A34" s="849" t="s">
        <v>1507</v>
      </c>
      <c r="O34" s="849" t="s">
        <v>1200</v>
      </c>
      <c r="AX34" s="893" t="s">
        <v>1508</v>
      </c>
      <c r="BE34" s="893">
        <v>2032</v>
      </c>
      <c r="BJ34" s="843" t="s">
        <v>1407</v>
      </c>
      <c r="BL34" s="843" t="s">
        <v>1407</v>
      </c>
    </row>
    <row r="35" spans="1:66" ht="11.25" customHeight="1">
      <c r="A35" s="849" t="s">
        <v>1509</v>
      </c>
      <c r="O35" s="849" t="s">
        <v>1233</v>
      </c>
      <c r="AX35" s="893" t="s">
        <v>1510</v>
      </c>
      <c r="AZ35" s="842" t="s">
        <v>1511</v>
      </c>
      <c r="BE35" s="893">
        <v>2033</v>
      </c>
      <c r="BL35" s="843" t="s">
        <v>1512</v>
      </c>
    </row>
    <row r="36" spans="1:66" ht="11.25" customHeight="1">
      <c r="A36" s="1602" t="s">
        <v>1513</v>
      </c>
      <c r="D36" s="884" t="s">
        <v>1514</v>
      </c>
      <c r="E36" s="885" t="s">
        <v>641</v>
      </c>
      <c r="F36" s="886" t="str">
        <f>INDEX(E37:E41,MATCH(TEMPLATE_SPHERE,F37:F41,0))</f>
        <v>теплоснабжения</v>
      </c>
      <c r="G36" s="886" t="str">
        <f>INDEX(G37:G41,MATCH(TEMPLATE_SPHERE,F37:F41,0))</f>
        <v>теплоснабжение</v>
      </c>
      <c r="O36" s="849" t="s">
        <v>1258</v>
      </c>
      <c r="AX36" s="893" t="s">
        <v>1515</v>
      </c>
      <c r="AZ36" s="893" t="s">
        <v>1140</v>
      </c>
      <c r="BE36" s="893">
        <v>2034</v>
      </c>
      <c r="BL36" s="843" t="s">
        <v>1516</v>
      </c>
    </row>
    <row r="37" spans="1:66" ht="11.25" customHeight="1">
      <c r="A37" s="849" t="s">
        <v>1517</v>
      </c>
      <c r="E37" s="292" t="s">
        <v>1518</v>
      </c>
      <c r="F37" s="887" t="s">
        <v>641</v>
      </c>
      <c r="G37" s="292" t="s">
        <v>1519</v>
      </c>
      <c r="O37" s="849" t="s">
        <v>1277</v>
      </c>
      <c r="AX37" s="893" t="s">
        <v>1520</v>
      </c>
      <c r="AZ37" s="893" t="s">
        <v>1167</v>
      </c>
      <c r="BE37" s="893">
        <v>2035</v>
      </c>
    </row>
    <row r="38" spans="1:66" ht="11.25" customHeight="1">
      <c r="A38" s="849" t="s">
        <v>1521</v>
      </c>
      <c r="E38" s="292" t="s">
        <v>1522</v>
      </c>
      <c r="F38" s="888" t="s">
        <v>687</v>
      </c>
      <c r="G38" s="292" t="s">
        <v>1523</v>
      </c>
      <c r="O38" s="849" t="s">
        <v>1293</v>
      </c>
      <c r="AX38" s="893" t="s">
        <v>1524</v>
      </c>
      <c r="AZ38" s="893" t="s">
        <v>1201</v>
      </c>
      <c r="BE38" s="893">
        <v>2036</v>
      </c>
      <c r="BH38" s="842" t="s">
        <v>1525</v>
      </c>
      <c r="BJ38" s="842" t="s">
        <v>1526</v>
      </c>
      <c r="BL38" s="842" t="s">
        <v>1527</v>
      </c>
      <c r="BN38" s="842" t="s">
        <v>1528</v>
      </c>
    </row>
    <row r="39" spans="1:66" ht="11.25" customHeight="1">
      <c r="A39" s="849" t="s">
        <v>1529</v>
      </c>
      <c r="E39" s="292" t="s">
        <v>1530</v>
      </c>
      <c r="F39" s="888" t="s">
        <v>739</v>
      </c>
      <c r="G39" s="292" t="s">
        <v>1531</v>
      </c>
      <c r="O39" s="849" t="s">
        <v>1309</v>
      </c>
      <c r="AX39" s="893" t="s">
        <v>1532</v>
      </c>
      <c r="AZ39" s="893" t="s">
        <v>1234</v>
      </c>
      <c r="BE39" s="893">
        <v>2037</v>
      </c>
      <c r="BH39" s="843" t="s">
        <v>1533</v>
      </c>
      <c r="BJ39" s="988" t="s">
        <v>1533</v>
      </c>
      <c r="BL39" s="988" t="s">
        <v>1533</v>
      </c>
      <c r="BN39" s="843" t="s">
        <v>1534</v>
      </c>
    </row>
    <row r="40" spans="1:66" ht="11.25" customHeight="1">
      <c r="A40" s="849" t="s">
        <v>1535</v>
      </c>
      <c r="E40" s="292" t="s">
        <v>1536</v>
      </c>
      <c r="F40" s="888" t="s">
        <v>725</v>
      </c>
      <c r="G40" s="292" t="s">
        <v>1537</v>
      </c>
      <c r="O40" s="849" t="s">
        <v>1325</v>
      </c>
      <c r="AX40" s="893" t="s">
        <v>1538</v>
      </c>
      <c r="BE40" s="893">
        <v>2038</v>
      </c>
      <c r="BH40" s="843" t="s">
        <v>1539</v>
      </c>
      <c r="BJ40" s="988" t="s">
        <v>861</v>
      </c>
      <c r="BL40" s="988" t="s">
        <v>861</v>
      </c>
      <c r="BN40" s="843" t="s">
        <v>895</v>
      </c>
    </row>
    <row r="41" spans="1:66" ht="11.25" customHeight="1">
      <c r="A41" s="849" t="s">
        <v>1540</v>
      </c>
      <c r="E41" s="292" t="s">
        <v>1541</v>
      </c>
      <c r="F41" s="888" t="s">
        <v>1542</v>
      </c>
      <c r="G41" s="292" t="s">
        <v>1541</v>
      </c>
      <c r="O41" s="849" t="s">
        <v>1341</v>
      </c>
      <c r="AX41" s="893" t="s">
        <v>1543</v>
      </c>
      <c r="AZ41" s="842" t="s">
        <v>1544</v>
      </c>
      <c r="BE41" s="893">
        <v>2039</v>
      </c>
      <c r="BH41" s="843" t="s">
        <v>1545</v>
      </c>
      <c r="BJ41" s="988" t="s">
        <v>857</v>
      </c>
      <c r="BL41" s="988" t="s">
        <v>857</v>
      </c>
      <c r="BN41" s="843" t="s">
        <v>882</v>
      </c>
    </row>
    <row r="42" spans="1:66" ht="11.25" customHeight="1">
      <c r="A42" s="849" t="s">
        <v>1546</v>
      </c>
      <c r="AX42" s="893" t="s">
        <v>1547</v>
      </c>
      <c r="AZ42" s="893" t="s">
        <v>1139</v>
      </c>
      <c r="BE42" s="893">
        <v>2040</v>
      </c>
      <c r="BH42" s="843" t="s">
        <v>879</v>
      </c>
      <c r="BJ42" s="988" t="s">
        <v>859</v>
      </c>
      <c r="BL42" s="988" t="s">
        <v>859</v>
      </c>
      <c r="BN42" s="843" t="s">
        <v>1548</v>
      </c>
    </row>
    <row r="43" spans="1:66" ht="11.25" customHeight="1">
      <c r="A43" s="849" t="s">
        <v>1549</v>
      </c>
      <c r="AX43" s="893" t="s">
        <v>1550</v>
      </c>
      <c r="AZ43" s="893" t="s">
        <v>1165</v>
      </c>
      <c r="BE43" s="893">
        <v>2041</v>
      </c>
      <c r="BH43" s="843" t="s">
        <v>1551</v>
      </c>
      <c r="BJ43" s="988" t="s">
        <v>1545</v>
      </c>
      <c r="BL43" s="988" t="s">
        <v>1545</v>
      </c>
      <c r="BN43" s="843" t="s">
        <v>1552</v>
      </c>
    </row>
    <row r="44" spans="1:66" ht="11.25" customHeight="1">
      <c r="A44" s="849" t="s">
        <v>1553</v>
      </c>
      <c r="I44" s="608" t="s">
        <v>1554</v>
      </c>
      <c r="J44" s="864" t="s">
        <v>1555</v>
      </c>
      <c r="K44" s="864" t="s">
        <v>1556</v>
      </c>
      <c r="AX44" s="893" t="s">
        <v>1557</v>
      </c>
      <c r="AZ44" s="893" t="s">
        <v>1200</v>
      </c>
      <c r="BE44" s="893">
        <v>2042</v>
      </c>
      <c r="BH44" s="843" t="s">
        <v>1558</v>
      </c>
      <c r="BJ44" s="988" t="s">
        <v>879</v>
      </c>
      <c r="BL44" s="988" t="s">
        <v>879</v>
      </c>
      <c r="BN44" s="843" t="s">
        <v>1559</v>
      </c>
    </row>
    <row r="45" spans="1:66" ht="11.25" customHeight="1">
      <c r="A45" s="849" t="s">
        <v>1560</v>
      </c>
      <c r="D45" s="884" t="s">
        <v>1561</v>
      </c>
      <c r="E45" s="885" t="s">
        <v>1562</v>
      </c>
      <c r="F45" s="606" t="s">
        <v>1563</v>
      </c>
      <c r="G45" s="605" t="s">
        <v>1564</v>
      </c>
      <c r="H45" s="608" t="s">
        <v>1565</v>
      </c>
      <c r="I45" s="1479" t="e">
        <f>INDEX(PeriodIsEmptyList,MATCH(TEMPLATE_GROUP,CodeTemplateList,0),1)</f>
        <v>#REF!</v>
      </c>
      <c r="J45" s="1482"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48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893" t="s">
        <v>1566</v>
      </c>
      <c r="AZ45" s="893" t="s">
        <v>1233</v>
      </c>
      <c r="BE45" s="893">
        <v>2043</v>
      </c>
      <c r="BH45" s="843" t="s">
        <v>1567</v>
      </c>
      <c r="BJ45" s="988" t="s">
        <v>873</v>
      </c>
      <c r="BL45" s="988" t="s">
        <v>873</v>
      </c>
      <c r="BN45" s="843" t="s">
        <v>1568</v>
      </c>
    </row>
    <row r="46" spans="1:66" ht="11.25" customHeight="1">
      <c r="A46" s="849" t="s">
        <v>1569</v>
      </c>
      <c r="E46" s="292" t="s">
        <v>2</v>
      </c>
      <c r="F46" s="887" t="s">
        <v>1570</v>
      </c>
      <c r="G46" s="889"/>
      <c r="H46" s="889"/>
      <c r="I46" s="1480" t="e">
        <f>IF(TITLE_DATE_FIL="",TRUE,FALSE)</f>
        <v>#REF!</v>
      </c>
      <c r="J46" s="1483" t="str">
        <f>"Общая информация о регулируемой организации ("&amp;TEMPLATE_SPHERE_RUS&amp;")"</f>
        <v>Общая информация о регулируемой организации (теплоснабжения)</v>
      </c>
      <c r="K46" s="1484"/>
      <c r="AX46" s="893" t="s">
        <v>1571</v>
      </c>
      <c r="AZ46" s="893" t="s">
        <v>1258</v>
      </c>
      <c r="BE46" s="893">
        <v>2044</v>
      </c>
      <c r="BH46" s="843" t="s">
        <v>882</v>
      </c>
      <c r="BJ46" s="988" t="s">
        <v>863</v>
      </c>
      <c r="BL46" s="988" t="s">
        <v>863</v>
      </c>
      <c r="BN46" s="843" t="s">
        <v>1572</v>
      </c>
    </row>
    <row r="47" spans="1:66" ht="11.25" customHeight="1">
      <c r="A47" s="849" t="s">
        <v>1573</v>
      </c>
      <c r="E47" s="292" t="s">
        <v>3</v>
      </c>
      <c r="F47" s="888" t="s">
        <v>1562</v>
      </c>
      <c r="G47" s="890" t="e">
        <f>IF(f_year="","",IF(LEN(f_quart)=0,"",IF(f_quart="I квартал","01.01."&amp;f_year,IF(f_quart="II квартал","01.04."&amp;f_year,(IF(f_quart="III квартал","01.07."&amp;f_year,"01.10."&amp;f_year))))))</f>
        <v>#REF!</v>
      </c>
      <c r="H47" s="890" t="e">
        <f>IF(f_year="","",IF(LEN(f_quart)=0,"",IF(f_quart="I квартал","31.03."&amp;f_year,IF(f_quart="II квартал","30.06."&amp;f_year,(IF(f_quart="III квартал","30.09."&amp;f_year,"31.12."&amp;f_year))))))</f>
        <v>#REF!</v>
      </c>
      <c r="I47" s="1481" t="e">
        <f>IF(OR(f_year="",f_quart=""),TRUE,FALSE)</f>
        <v>#REF!</v>
      </c>
      <c r="J47" s="148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484"/>
      <c r="AX47" s="893" t="s">
        <v>1574</v>
      </c>
      <c r="AZ47" s="893" t="s">
        <v>1277</v>
      </c>
      <c r="BE47" s="893">
        <v>2045</v>
      </c>
      <c r="BH47" s="843" t="s">
        <v>1548</v>
      </c>
      <c r="BJ47" s="988" t="s">
        <v>865</v>
      </c>
      <c r="BL47" s="988" t="s">
        <v>865</v>
      </c>
      <c r="BN47" s="843" t="s">
        <v>1575</v>
      </c>
    </row>
    <row r="48" spans="1:66" ht="11.25" customHeight="1">
      <c r="A48" s="849" t="s">
        <v>1576</v>
      </c>
      <c r="E48" s="292" t="s">
        <v>1577</v>
      </c>
      <c r="F48" s="888" t="s">
        <v>1578</v>
      </c>
      <c r="G48" s="890" t="e">
        <f>IF(f_year="","","01.01."&amp;f_year)</f>
        <v>#REF!</v>
      </c>
      <c r="H48" s="890" t="e">
        <f>IF(f_year="","","31.12."&amp;f_year)</f>
        <v>#REF!</v>
      </c>
      <c r="I48" s="1480" t="e">
        <f>IF(f_year="",TRUE,FALSE)</f>
        <v>#REF!</v>
      </c>
      <c r="J48" s="1483" t="s">
        <v>1579</v>
      </c>
      <c r="K48" s="1484"/>
      <c r="AX48" s="893" t="s">
        <v>1580</v>
      </c>
      <c r="AZ48" s="893" t="s">
        <v>1293</v>
      </c>
      <c r="BE48" s="893">
        <v>2046</v>
      </c>
      <c r="BH48" s="843" t="s">
        <v>1552</v>
      </c>
      <c r="BJ48" s="988" t="s">
        <v>867</v>
      </c>
      <c r="BL48" s="988" t="s">
        <v>867</v>
      </c>
      <c r="BN48" s="843" t="s">
        <v>1581</v>
      </c>
    </row>
    <row r="49" spans="1:64" ht="11.25" customHeight="1">
      <c r="A49" s="849" t="s">
        <v>1582</v>
      </c>
      <c r="E49" s="292" t="s">
        <v>1583</v>
      </c>
      <c r="F49" s="888" t="s">
        <v>1584</v>
      </c>
      <c r="G49" s="890" t="e">
        <f>IF(f_year="","","01.01."&amp;f_year)</f>
        <v>#REF!</v>
      </c>
      <c r="H49" s="890" t="e">
        <f>IF(f_year="","","31.12."&amp;f_year)</f>
        <v>#REF!</v>
      </c>
      <c r="I49" s="1480" t="e">
        <f>IF(f_year="",TRUE,FALSE)</f>
        <v>#REF!</v>
      </c>
      <c r="J49" s="148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484"/>
      <c r="AX49" s="893" t="s">
        <v>1585</v>
      </c>
      <c r="AZ49" s="893" t="s">
        <v>1309</v>
      </c>
      <c r="BE49" s="893">
        <v>2047</v>
      </c>
      <c r="BH49" s="843" t="s">
        <v>883</v>
      </c>
      <c r="BJ49" s="988" t="s">
        <v>869</v>
      </c>
      <c r="BL49" s="988" t="s">
        <v>869</v>
      </c>
    </row>
    <row r="50" spans="1:64" ht="11.25" customHeight="1">
      <c r="A50" s="849" t="s">
        <v>1586</v>
      </c>
      <c r="E50" s="292" t="s">
        <v>1587</v>
      </c>
      <c r="F50" s="888" t="s">
        <v>853</v>
      </c>
      <c r="G50" s="890" t="e">
        <f>IF(f_year="","","01.01."&amp;f_year)</f>
        <v>#REF!</v>
      </c>
      <c r="H50" s="890" t="e">
        <f>IF(f_year="","","31.12."&amp;f_year)</f>
        <v>#REF!</v>
      </c>
      <c r="I50" s="1480" t="e">
        <f>IF(f_year="",TRUE,FALSE)</f>
        <v>#REF!</v>
      </c>
      <c r="J50" s="148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484"/>
      <c r="AX50" s="893" t="s">
        <v>1588</v>
      </c>
      <c r="AZ50" s="893" t="s">
        <v>1325</v>
      </c>
      <c r="BE50" s="893">
        <v>2048</v>
      </c>
      <c r="BH50" s="843" t="s">
        <v>1559</v>
      </c>
      <c r="BJ50" s="988" t="s">
        <v>871</v>
      </c>
      <c r="BL50" s="988" t="s">
        <v>871</v>
      </c>
    </row>
    <row r="51" spans="1:64" ht="11.25" customHeight="1">
      <c r="A51" s="849" t="s">
        <v>1589</v>
      </c>
      <c r="E51" s="292" t="s">
        <v>1590</v>
      </c>
      <c r="F51" s="888" t="s">
        <v>1591</v>
      </c>
      <c r="G51" s="890" t="e">
        <f>IF(TITLE_PERIOD_START="","",TITLE_PERIOD_START)</f>
        <v>#REF!</v>
      </c>
      <c r="H51" s="890" t="e">
        <f>IF(TITLE_PERIOD_END="","",TITLE_PERIOD_END)</f>
        <v>#REF!</v>
      </c>
      <c r="I51" s="1481" t="e">
        <f>IF(OR(TITLE_PERIOD_START="",TITLE_PERIOD_END=""),TRUE,FALSE)</f>
        <v>#REF!</v>
      </c>
      <c r="J51" s="148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484"/>
      <c r="AX51" s="893" t="s">
        <v>1592</v>
      </c>
      <c r="AZ51" s="893" t="s">
        <v>1341</v>
      </c>
      <c r="BE51" s="893">
        <v>2049</v>
      </c>
      <c r="BH51" s="843" t="s">
        <v>1568</v>
      </c>
      <c r="BJ51" s="988" t="s">
        <v>1593</v>
      </c>
      <c r="BL51" s="988" t="s">
        <v>1593</v>
      </c>
    </row>
    <row r="52" spans="1:64" ht="11.25" customHeight="1">
      <c r="A52" s="849" t="s">
        <v>1594</v>
      </c>
      <c r="E52" s="292" t="s">
        <v>1595</v>
      </c>
      <c r="F52" s="888" t="s">
        <v>1596</v>
      </c>
      <c r="G52" s="890" t="e">
        <f>IF(TITLE_PERIOD_START="","",TITLE_PERIOD_START)</f>
        <v>#REF!</v>
      </c>
      <c r="H52" s="890" t="e">
        <f>IF(TITLE_PERIOD_END="","",TITLE_PERIOD_END)</f>
        <v>#REF!</v>
      </c>
      <c r="I52" s="1481" t="e">
        <f>IF(OR(TITLE_PERIOD_START="",TITLE_PERIOD_END=""),TRUE,FALSE)</f>
        <v>#REF!</v>
      </c>
      <c r="J52" s="1483" t="str">
        <f>"Показатели, подлежащие раскрытию в сфере "&amp;TEMPLATE_SPHERE_RUS&amp;" (цены и тарифы)"</f>
        <v>Показатели, подлежащие раскрытию в сфере теплоснабжения (цены и тарифы)</v>
      </c>
      <c r="K52" s="1484"/>
      <c r="AX52" s="893" t="s">
        <v>1597</v>
      </c>
      <c r="AZ52" s="893" t="s">
        <v>1140</v>
      </c>
      <c r="BE52" s="893">
        <v>2050</v>
      </c>
      <c r="BH52" s="843" t="s">
        <v>1572</v>
      </c>
      <c r="BJ52" s="988" t="s">
        <v>882</v>
      </c>
      <c r="BL52" s="988" t="s">
        <v>882</v>
      </c>
    </row>
    <row r="53" spans="1:64" ht="11.25" customHeight="1">
      <c r="A53" s="849" t="s">
        <v>1598</v>
      </c>
      <c r="E53" s="292" t="s">
        <v>1599</v>
      </c>
      <c r="F53" s="888" t="s">
        <v>1599</v>
      </c>
      <c r="G53" s="890" t="e">
        <f>IF(f_year="","","01.01."&amp;f_year)</f>
        <v>#REF!</v>
      </c>
      <c r="H53" s="890" t="e">
        <f>IF(f_year="","","31.12."&amp;f_year)</f>
        <v>#REF!</v>
      </c>
      <c r="I53" s="1480" t="e">
        <f>IF(AND(f_year="",TITLE_DATE_FIL=""),TRUE,FALSE)</f>
        <v>#REF!</v>
      </c>
      <c r="J53" s="1483" t="s">
        <v>1600</v>
      </c>
      <c r="K53" s="1484"/>
      <c r="AX53" s="893" t="s">
        <v>1601</v>
      </c>
      <c r="BE53" s="893">
        <v>2051</v>
      </c>
      <c r="BH53" s="843" t="s">
        <v>1575</v>
      </c>
      <c r="BJ53" s="988" t="s">
        <v>1548</v>
      </c>
      <c r="BL53" s="988" t="s">
        <v>1548</v>
      </c>
    </row>
    <row r="54" spans="1:64" ht="11.25" customHeight="1">
      <c r="A54" s="849" t="s">
        <v>1602</v>
      </c>
      <c r="AX54" s="893" t="s">
        <v>1603</v>
      </c>
      <c r="AZ54" s="842" t="s">
        <v>1604</v>
      </c>
      <c r="BE54" s="893">
        <v>2052</v>
      </c>
      <c r="BH54" s="843" t="s">
        <v>1581</v>
      </c>
      <c r="BJ54" s="988" t="s">
        <v>1552</v>
      </c>
      <c r="BL54" s="988" t="s">
        <v>1552</v>
      </c>
    </row>
    <row r="55" spans="1:64" ht="11.25" customHeight="1">
      <c r="A55" s="849" t="s">
        <v>1605</v>
      </c>
      <c r="AX55" s="893" t="s">
        <v>1606</v>
      </c>
      <c r="AZ55" s="893" t="s">
        <v>1142</v>
      </c>
      <c r="BE55" s="893">
        <v>2053</v>
      </c>
      <c r="BH55" s="845" t="s">
        <v>1</v>
      </c>
      <c r="BJ55" s="988" t="s">
        <v>883</v>
      </c>
      <c r="BL55" s="988" t="s">
        <v>883</v>
      </c>
    </row>
    <row r="56" spans="1:64" ht="11.25" customHeight="1">
      <c r="A56" s="849" t="s">
        <v>1607</v>
      </c>
      <c r="D56" s="892" t="s">
        <v>1608</v>
      </c>
      <c r="E56" s="869">
        <v>55</v>
      </c>
      <c r="F56" s="849" t="s">
        <v>1609</v>
      </c>
      <c r="AX56" s="893" t="s">
        <v>1610</v>
      </c>
      <c r="AZ56" s="893" t="s">
        <v>1169</v>
      </c>
      <c r="BE56" s="893">
        <v>2054</v>
      </c>
      <c r="BH56" s="845" t="s">
        <v>1</v>
      </c>
      <c r="BJ56" s="988" t="s">
        <v>1559</v>
      </c>
      <c r="BL56" s="988" t="s">
        <v>1559</v>
      </c>
    </row>
    <row r="57" spans="1:64" ht="11.25" customHeight="1">
      <c r="A57" s="849" t="s">
        <v>1611</v>
      </c>
      <c r="D57" s="892" t="s">
        <v>1612</v>
      </c>
      <c r="E57" s="869">
        <v>67</v>
      </c>
      <c r="F57" s="849" t="s">
        <v>1609</v>
      </c>
      <c r="AX57" s="893" t="s">
        <v>1613</v>
      </c>
      <c r="AZ57" s="893" t="s">
        <v>1203</v>
      </c>
      <c r="BE57" s="893">
        <v>2055</v>
      </c>
      <c r="BJ57" s="988" t="s">
        <v>1568</v>
      </c>
      <c r="BL57" s="988" t="s">
        <v>1568</v>
      </c>
    </row>
    <row r="58" spans="1:64" ht="11.25" customHeight="1">
      <c r="A58" s="849" t="s">
        <v>1614</v>
      </c>
      <c r="D58" s="892" t="s">
        <v>1615</v>
      </c>
      <c r="E58" s="869">
        <v>44</v>
      </c>
      <c r="F58" s="849" t="s">
        <v>1609</v>
      </c>
      <c r="AX58" s="893" t="s">
        <v>1616</v>
      </c>
      <c r="BE58" s="893">
        <v>2056</v>
      </c>
      <c r="BJ58" s="988" t="s">
        <v>1572</v>
      </c>
      <c r="BL58" s="988" t="s">
        <v>1572</v>
      </c>
    </row>
    <row r="59" spans="1:64" ht="11.25" customHeight="1">
      <c r="A59" s="849" t="s">
        <v>1617</v>
      </c>
      <c r="D59" s="892" t="s">
        <v>69</v>
      </c>
      <c r="E59" s="869" t="s">
        <v>1438</v>
      </c>
      <c r="F59" s="849" t="s">
        <v>1618</v>
      </c>
      <c r="AX59" s="893" t="s">
        <v>1619</v>
      </c>
      <c r="AZ59" s="842" t="s">
        <v>1620</v>
      </c>
      <c r="BE59" s="893">
        <v>2057</v>
      </c>
      <c r="BJ59" s="988" t="s">
        <v>1575</v>
      </c>
      <c r="BL59" s="988" t="s">
        <v>1575</v>
      </c>
    </row>
    <row r="60" spans="1:64" ht="11.25" customHeight="1">
      <c r="A60" s="849" t="s">
        <v>1621</v>
      </c>
      <c r="D60" s="892" t="s">
        <v>1622</v>
      </c>
      <c r="E60" s="869" t="s">
        <v>1438</v>
      </c>
      <c r="F60" s="849" t="s">
        <v>1618</v>
      </c>
      <c r="AX60" s="893" t="s">
        <v>1623</v>
      </c>
      <c r="AZ60" s="893" t="s">
        <v>1143</v>
      </c>
      <c r="BE60" s="893">
        <v>2058</v>
      </c>
      <c r="BJ60" s="988" t="s">
        <v>1581</v>
      </c>
      <c r="BL60" s="988" t="s">
        <v>1581</v>
      </c>
    </row>
    <row r="61" spans="1:64" ht="11.25" customHeight="1">
      <c r="A61" s="849" t="s">
        <v>1624</v>
      </c>
      <c r="D61" s="892" t="s">
        <v>1625</v>
      </c>
      <c r="E61" s="869">
        <v>26</v>
      </c>
      <c r="F61" s="849" t="s">
        <v>1618</v>
      </c>
      <c r="AX61" s="893" t="s">
        <v>1626</v>
      </c>
      <c r="AZ61" s="893" t="s">
        <v>1170</v>
      </c>
      <c r="BE61" s="893">
        <v>2059</v>
      </c>
      <c r="BL61" s="988" t="s">
        <v>875</v>
      </c>
    </row>
    <row r="62" spans="1:64" ht="11.25" customHeight="1">
      <c r="A62" s="849" t="s">
        <v>1627</v>
      </c>
      <c r="D62" s="892" t="s">
        <v>68</v>
      </c>
      <c r="E62" s="869">
        <v>30</v>
      </c>
      <c r="F62" s="849" t="s">
        <v>1618</v>
      </c>
      <c r="AZ62" s="893" t="s">
        <v>1204</v>
      </c>
      <c r="BE62" s="893">
        <v>2060</v>
      </c>
      <c r="BL62" s="988" t="s">
        <v>877</v>
      </c>
    </row>
    <row r="63" spans="1:64" ht="11.25" customHeight="1">
      <c r="A63" s="849" t="s">
        <v>1628</v>
      </c>
      <c r="D63" s="892" t="s">
        <v>1629</v>
      </c>
      <c r="E63" s="869">
        <v>30</v>
      </c>
      <c r="F63" s="849" t="s">
        <v>1618</v>
      </c>
      <c r="AZ63" s="893" t="s">
        <v>1236</v>
      </c>
      <c r="BE63" s="893">
        <v>2061</v>
      </c>
    </row>
    <row r="64" spans="1:64" ht="11.25" customHeight="1">
      <c r="A64" s="849" t="s">
        <v>1630</v>
      </c>
      <c r="D64" s="892" t="s">
        <v>1631</v>
      </c>
      <c r="E64" s="869">
        <v>30</v>
      </c>
      <c r="F64" s="849" t="s">
        <v>1618</v>
      </c>
      <c r="AZ64" s="893" t="s">
        <v>1259</v>
      </c>
      <c r="BE64" s="893">
        <v>2062</v>
      </c>
    </row>
    <row r="65" spans="1:66" ht="11.25" customHeight="1">
      <c r="A65" s="849" t="s">
        <v>1632</v>
      </c>
      <c r="D65" s="849"/>
      <c r="BE65" s="893">
        <v>2063</v>
      </c>
    </row>
    <row r="66" spans="1:66" ht="11.25" customHeight="1">
      <c r="A66" s="849" t="s">
        <v>1633</v>
      </c>
      <c r="AZ66" s="842" t="s">
        <v>1634</v>
      </c>
      <c r="BE66" s="893">
        <v>2064</v>
      </c>
    </row>
    <row r="67" spans="1:66" ht="11.25" customHeight="1">
      <c r="A67" s="849" t="s">
        <v>1635</v>
      </c>
      <c r="AZ67" s="893" t="s">
        <v>1144</v>
      </c>
      <c r="BE67" s="893">
        <v>2065</v>
      </c>
    </row>
    <row r="68" spans="1:66" ht="11.25" customHeight="1">
      <c r="A68" s="849" t="s">
        <v>1636</v>
      </c>
      <c r="AZ68" s="893" t="s">
        <v>1171</v>
      </c>
      <c r="BE68" s="893">
        <v>2066</v>
      </c>
      <c r="BH68" s="842" t="s">
        <v>1637</v>
      </c>
      <c r="BJ68" s="842" t="s">
        <v>1638</v>
      </c>
      <c r="BL68" s="842" t="s">
        <v>1639</v>
      </c>
      <c r="BN68" s="842" t="s">
        <v>1640</v>
      </c>
    </row>
    <row r="69" spans="1:66" ht="11.25" customHeight="1">
      <c r="A69" s="849" t="s">
        <v>1641</v>
      </c>
      <c r="AZ69" s="893" t="s">
        <v>1205</v>
      </c>
      <c r="BE69" s="893">
        <v>2067</v>
      </c>
      <c r="BH69" s="843" t="s">
        <v>1642</v>
      </c>
      <c r="BI69" s="891" t="s">
        <v>43</v>
      </c>
      <c r="BJ69" s="843" t="s">
        <v>1643</v>
      </c>
      <c r="BK69" s="891" t="s">
        <v>43</v>
      </c>
      <c r="BL69" s="843" t="s">
        <v>1644</v>
      </c>
      <c r="BN69" s="843" t="s">
        <v>1645</v>
      </c>
    </row>
    <row r="70" spans="1:66" ht="11.25" customHeight="1">
      <c r="A70" s="849" t="s">
        <v>1646</v>
      </c>
      <c r="AZ70" s="893" t="s">
        <v>1237</v>
      </c>
      <c r="BE70" s="893">
        <v>2068</v>
      </c>
      <c r="BH70" s="843" t="s">
        <v>1647</v>
      </c>
      <c r="BJ70" s="843" t="s">
        <v>1648</v>
      </c>
      <c r="BL70" s="843" t="s">
        <v>1649</v>
      </c>
      <c r="BN70" s="843" t="s">
        <v>1650</v>
      </c>
    </row>
    <row r="71" spans="1:66" ht="11.25" customHeight="1">
      <c r="A71" s="849" t="s">
        <v>1651</v>
      </c>
      <c r="AZ71" s="893" t="s">
        <v>1239</v>
      </c>
      <c r="BE71" s="893">
        <v>2069</v>
      </c>
      <c r="BH71" s="843" t="s">
        <v>1652</v>
      </c>
      <c r="BI71" s="891" t="s">
        <v>24</v>
      </c>
      <c r="BJ71" s="843" t="s">
        <v>1653</v>
      </c>
      <c r="BK71" s="891" t="s">
        <v>24</v>
      </c>
      <c r="BL71" s="843" t="s">
        <v>1654</v>
      </c>
      <c r="BN71" s="843" t="s">
        <v>1655</v>
      </c>
    </row>
    <row r="72" spans="1:66" ht="11.25" customHeight="1">
      <c r="A72" s="849" t="s">
        <v>1656</v>
      </c>
      <c r="AZ72" s="893" t="s">
        <v>15</v>
      </c>
      <c r="BE72" s="893">
        <v>2070</v>
      </c>
      <c r="BH72" s="843" t="s">
        <v>1657</v>
      </c>
      <c r="BJ72" s="843" t="s">
        <v>1657</v>
      </c>
      <c r="BL72" s="843" t="s">
        <v>1657</v>
      </c>
      <c r="BN72" s="843" t="s">
        <v>1658</v>
      </c>
    </row>
    <row r="73" spans="1:66" ht="11.25" customHeight="1">
      <c r="A73" s="849" t="s">
        <v>0</v>
      </c>
      <c r="BH73" s="843" t="s">
        <v>1659</v>
      </c>
      <c r="BI73" s="891" t="s">
        <v>45</v>
      </c>
      <c r="BJ73" s="843" t="s">
        <v>1660</v>
      </c>
      <c r="BK73" s="891" t="s">
        <v>45</v>
      </c>
      <c r="BL73" s="843" t="s">
        <v>1661</v>
      </c>
      <c r="BN73" s="843" t="s">
        <v>1662</v>
      </c>
    </row>
    <row r="74" spans="1:66" ht="11.25" customHeight="1">
      <c r="A74" s="849" t="s">
        <v>1663</v>
      </c>
      <c r="BH74" s="843" t="s">
        <v>1664</v>
      </c>
      <c r="BJ74" s="843" t="s">
        <v>1665</v>
      </c>
      <c r="BL74" s="843" t="s">
        <v>1666</v>
      </c>
      <c r="BN74" s="843" t="s">
        <v>1667</v>
      </c>
    </row>
    <row r="75" spans="1:66" ht="11.25" customHeight="1">
      <c r="A75" s="849" t="s">
        <v>1668</v>
      </c>
      <c r="AZ75" s="842" t="s">
        <v>1669</v>
      </c>
      <c r="BH75" s="843" t="s">
        <v>1670</v>
      </c>
      <c r="BJ75" s="843" t="s">
        <v>1670</v>
      </c>
      <c r="BL75" s="843" t="s">
        <v>1670</v>
      </c>
    </row>
    <row r="76" spans="1:66" ht="11.25" customHeight="1">
      <c r="A76" s="849" t="s">
        <v>1671</v>
      </c>
      <c r="AZ76" s="893" t="s">
        <v>1153</v>
      </c>
      <c r="BH76" s="843" t="s">
        <v>1672</v>
      </c>
      <c r="BJ76" s="843" t="s">
        <v>1673</v>
      </c>
      <c r="BL76" s="843" t="s">
        <v>1674</v>
      </c>
    </row>
    <row r="77" spans="1:66" ht="11.25" customHeight="1">
      <c r="A77" s="849" t="s">
        <v>1675</v>
      </c>
      <c r="AZ77" s="893" t="s">
        <v>1181</v>
      </c>
    </row>
    <row r="78" spans="1:66" ht="11.25" customHeight="1">
      <c r="A78" s="849" t="s">
        <v>1676</v>
      </c>
      <c r="AZ78" s="893" t="s">
        <v>1212</v>
      </c>
    </row>
    <row r="79" spans="1:66" ht="11.25" customHeight="1">
      <c r="A79" s="849" t="s">
        <v>1677</v>
      </c>
      <c r="AZ79" s="893" t="s">
        <v>1243</v>
      </c>
      <c r="BH79" s="842" t="s">
        <v>1678</v>
      </c>
      <c r="BJ79" s="842" t="s">
        <v>1679</v>
      </c>
      <c r="BL79" s="842" t="s">
        <v>1680</v>
      </c>
    </row>
    <row r="80" spans="1:66" ht="11.25" customHeight="1">
      <c r="A80" s="849" t="s">
        <v>1681</v>
      </c>
      <c r="AZ80" s="893" t="s">
        <v>1264</v>
      </c>
      <c r="BH80" s="843" t="s">
        <v>1682</v>
      </c>
      <c r="BJ80" s="843" t="s">
        <v>1683</v>
      </c>
      <c r="BL80" s="843" t="s">
        <v>1684</v>
      </c>
    </row>
    <row r="81" spans="1:66" ht="11.25" customHeight="1">
      <c r="A81" s="849" t="s">
        <v>1685</v>
      </c>
      <c r="AZ81" s="893" t="s">
        <v>1281</v>
      </c>
      <c r="BH81" s="843" t="s">
        <v>1686</v>
      </c>
      <c r="BJ81" s="843" t="s">
        <v>1687</v>
      </c>
      <c r="BL81" s="843" t="s">
        <v>1688</v>
      </c>
    </row>
    <row r="82" spans="1:66" ht="11.25" customHeight="1">
      <c r="A82" s="849" t="s">
        <v>1689</v>
      </c>
      <c r="AZ82" s="893" t="s">
        <v>1295</v>
      </c>
      <c r="BH82" s="843" t="s">
        <v>1690</v>
      </c>
      <c r="BJ82" s="843" t="s">
        <v>1691</v>
      </c>
      <c r="BL82" s="843" t="s">
        <v>1692</v>
      </c>
    </row>
    <row r="83" spans="1:66" ht="11.25" customHeight="1">
      <c r="A83" s="849" t="s">
        <v>1693</v>
      </c>
      <c r="BH83" s="843" t="s">
        <v>1694</v>
      </c>
      <c r="BJ83" s="843" t="s">
        <v>1695</v>
      </c>
      <c r="BL83" s="843" t="s">
        <v>1696</v>
      </c>
    </row>
    <row r="84" spans="1:66" ht="11.25" customHeight="1">
      <c r="A84" s="849" t="s">
        <v>1697</v>
      </c>
      <c r="AZ84" s="842" t="s">
        <v>1698</v>
      </c>
    </row>
    <row r="85" spans="1:66" ht="11.25" customHeight="1">
      <c r="A85" s="1602" t="s">
        <v>1699</v>
      </c>
      <c r="AZ85" s="893" t="s">
        <v>1700</v>
      </c>
    </row>
    <row r="86" spans="1:66" ht="11.25" customHeight="1">
      <c r="A86" s="849" t="s">
        <v>1701</v>
      </c>
      <c r="AZ86" s="893" t="s">
        <v>1702</v>
      </c>
      <c r="BH86" s="842" t="s">
        <v>1703</v>
      </c>
      <c r="BJ86" s="842" t="s">
        <v>1704</v>
      </c>
      <c r="BL86" s="842" t="s">
        <v>1705</v>
      </c>
    </row>
    <row r="87" spans="1:66" ht="11.25" customHeight="1">
      <c r="A87" s="849" t="s">
        <v>1706</v>
      </c>
      <c r="AZ87" s="893" t="s">
        <v>1707</v>
      </c>
      <c r="BH87" s="843" t="s">
        <v>1708</v>
      </c>
      <c r="BJ87" s="843" t="s">
        <v>1709</v>
      </c>
      <c r="BL87" s="843" t="s">
        <v>1710</v>
      </c>
    </row>
    <row r="88" spans="1:66" ht="11.25" customHeight="1">
      <c r="A88" s="849" t="s">
        <v>1711</v>
      </c>
      <c r="AZ88" s="1383"/>
      <c r="BH88" s="843" t="s">
        <v>1712</v>
      </c>
      <c r="BJ88" s="843" t="s">
        <v>1713</v>
      </c>
      <c r="BL88" s="843" t="s">
        <v>1714</v>
      </c>
    </row>
    <row r="89" spans="1:66" ht="11.25" customHeight="1">
      <c r="A89" s="849" t="s">
        <v>1715</v>
      </c>
      <c r="AZ89" s="842" t="s">
        <v>1716</v>
      </c>
    </row>
    <row r="90" spans="1:66" ht="11.25" customHeight="1">
      <c r="A90" s="849" t="s">
        <v>1717</v>
      </c>
      <c r="AZ90" s="893" t="s">
        <v>853</v>
      </c>
    </row>
    <row r="91" spans="1:66" ht="11.25" customHeight="1">
      <c r="A91" s="849" t="s">
        <v>1718</v>
      </c>
      <c r="AZ91" s="893" t="s">
        <v>889</v>
      </c>
      <c r="BH91" s="842" t="s">
        <v>1719</v>
      </c>
      <c r="BJ91" s="842" t="s">
        <v>1720</v>
      </c>
      <c r="BL91" s="842" t="s">
        <v>1721</v>
      </c>
    </row>
    <row r="92" spans="1:66" ht="11.25" customHeight="1">
      <c r="AZ92" s="893" t="s">
        <v>1722</v>
      </c>
      <c r="BH92" s="843" t="s">
        <v>1723</v>
      </c>
      <c r="BJ92" s="843" t="s">
        <v>1724</v>
      </c>
      <c r="BL92" s="843" t="s">
        <v>1725</v>
      </c>
    </row>
    <row r="93" spans="1:66" ht="11.25" customHeight="1">
      <c r="AZ93" s="893" t="s">
        <v>1726</v>
      </c>
      <c r="BH93" s="843" t="s">
        <v>1727</v>
      </c>
      <c r="BJ93" s="843" t="s">
        <v>1728</v>
      </c>
      <c r="BL93" s="843" t="s">
        <v>1729</v>
      </c>
    </row>
    <row r="94" spans="1:66" ht="11.25" customHeight="1">
      <c r="AZ94" s="893" t="s">
        <v>1730</v>
      </c>
    </row>
    <row r="96" spans="1:66" ht="11.25" customHeight="1">
      <c r="AZ96" s="842" t="s">
        <v>1731</v>
      </c>
      <c r="BH96" s="842" t="s">
        <v>1732</v>
      </c>
      <c r="BJ96" s="842" t="s">
        <v>1733</v>
      </c>
      <c r="BL96" s="842" t="s">
        <v>1734</v>
      </c>
      <c r="BN96" s="842" t="s">
        <v>1735</v>
      </c>
    </row>
    <row r="97" spans="52:66" ht="11.25" customHeight="1">
      <c r="AZ97" s="893" t="s">
        <v>1736</v>
      </c>
      <c r="BH97" s="843" t="s">
        <v>1737</v>
      </c>
      <c r="BJ97" s="843" t="s">
        <v>1738</v>
      </c>
      <c r="BL97" s="843" t="s">
        <v>1739</v>
      </c>
      <c r="BN97" s="843" t="s">
        <v>1740</v>
      </c>
    </row>
    <row r="98" spans="52:66" ht="11.25" customHeight="1">
      <c r="AZ98" s="893" t="s">
        <v>1741</v>
      </c>
      <c r="BH98" s="843" t="s">
        <v>1742</v>
      </c>
      <c r="BJ98" s="843" t="s">
        <v>1743</v>
      </c>
      <c r="BL98" s="843" t="s">
        <v>1744</v>
      </c>
      <c r="BN98" s="843" t="s">
        <v>1745</v>
      </c>
    </row>
    <row r="99" spans="52:66" ht="11.25" customHeight="1">
      <c r="AZ99" s="893" t="s">
        <v>1746</v>
      </c>
      <c r="BH99" s="843" t="s">
        <v>1747</v>
      </c>
      <c r="BJ99" s="843" t="s">
        <v>1748</v>
      </c>
      <c r="BL99" s="843" t="s">
        <v>1749</v>
      </c>
      <c r="BN99" s="843" t="s">
        <v>1750</v>
      </c>
    </row>
    <row r="100" spans="52:66" ht="11.25" customHeight="1">
      <c r="BJ100" s="843" t="s">
        <v>1341</v>
      </c>
      <c r="BL100" s="843" t="s">
        <v>1341</v>
      </c>
      <c r="BN100" s="843" t="s">
        <v>1751</v>
      </c>
    </row>
    <row r="101" spans="52:66" ht="11.25" customHeight="1">
      <c r="AZ101" s="1460" t="s">
        <v>1752</v>
      </c>
      <c r="BN101" s="843" t="s">
        <v>1753</v>
      </c>
    </row>
    <row r="102" spans="52:66" ht="11.25" customHeight="1">
      <c r="AZ102" s="893" t="s">
        <v>1754</v>
      </c>
      <c r="BN102" s="843" t="s">
        <v>1755</v>
      </c>
    </row>
    <row r="103" spans="52:66" ht="11.25" customHeight="1">
      <c r="AZ103" s="893" t="s">
        <v>1756</v>
      </c>
      <c r="BN103" s="843" t="s">
        <v>1757</v>
      </c>
    </row>
    <row r="104" spans="52:66" ht="11.25" customHeight="1">
      <c r="AZ104" s="893" t="s">
        <v>489</v>
      </c>
      <c r="BN104" s="843" t="s">
        <v>1758</v>
      </c>
    </row>
    <row r="107" spans="52:66" ht="11.25" customHeight="1">
      <c r="BH107" s="842" t="s">
        <v>1759</v>
      </c>
      <c r="BJ107" s="842" t="s">
        <v>1760</v>
      </c>
      <c r="BL107" s="842" t="s">
        <v>1761</v>
      </c>
      <c r="BN107" s="842" t="s">
        <v>1762</v>
      </c>
    </row>
    <row r="108" spans="52:66" ht="11.25" customHeight="1">
      <c r="BH108" s="843" t="s">
        <v>1763</v>
      </c>
      <c r="BJ108" s="843" t="s">
        <v>1764</v>
      </c>
      <c r="BL108" s="843" t="s">
        <v>1426</v>
      </c>
      <c r="BN108" s="843" t="s">
        <v>1765</v>
      </c>
    </row>
    <row r="109" spans="52:66" ht="11.25" customHeight="1">
      <c r="BH109" s="843" t="s">
        <v>1766</v>
      </c>
    </row>
    <row r="110" spans="52:66" ht="11.25" customHeight="1">
      <c r="BH110" s="843" t="s">
        <v>1766</v>
      </c>
    </row>
    <row r="114" spans="60:60" ht="11.25" customHeight="1">
      <c r="BH114" s="842" t="s">
        <v>1767</v>
      </c>
    </row>
    <row r="115" spans="60:60" ht="11.25" customHeight="1">
      <c r="BH115" s="843" t="s">
        <v>1140</v>
      </c>
    </row>
    <row r="116" spans="60:60" ht="11.25" customHeight="1">
      <c r="BH116" s="843" t="s">
        <v>1167</v>
      </c>
    </row>
    <row r="117" spans="60:60" ht="11.25" customHeight="1">
      <c r="BH117" s="843" t="s">
        <v>1201</v>
      </c>
    </row>
    <row r="118" spans="60:60" ht="11.25" customHeight="1">
      <c r="BH118" s="843" t="s">
        <v>1234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1844"/>
    <col min="2" max="2" width="43.140625" style="1844" hidden="1"/>
    <col min="3" max="3" width="43.140625" style="1844"/>
    <col min="4" max="5" width="36.42578125" style="1844" customWidth="1"/>
    <col min="6" max="8" width="36.42578125" style="1845" customWidth="1"/>
  </cols>
  <sheetData>
    <row r="1" spans="1:8" ht="9" customHeight="1">
      <c r="A1" s="645" t="s">
        <v>1768</v>
      </c>
      <c r="B1" s="645"/>
      <c r="C1" s="766" t="s">
        <v>1769</v>
      </c>
      <c r="D1" s="765" t="s">
        <v>641</v>
      </c>
      <c r="E1" s="765" t="s">
        <v>687</v>
      </c>
      <c r="F1" s="765" t="s">
        <v>739</v>
      </c>
      <c r="G1" s="765" t="s">
        <v>725</v>
      </c>
      <c r="H1" s="765" t="s">
        <v>1542</v>
      </c>
    </row>
    <row r="2" spans="1:8" ht="9" customHeight="1">
      <c r="A2" s="767" t="s">
        <v>1770</v>
      </c>
      <c r="B2" s="767"/>
      <c r="C2" s="768" t="str">
        <f>INDEX(TEMPLATE_NUMBER_FORM_LIST,MATCH(TEMPLATE_SPHERE,TEMPLATE_SPHERE_LIST,0))</f>
        <v>16</v>
      </c>
      <c r="D2" s="767" t="s">
        <v>1392</v>
      </c>
      <c r="E2" s="767" t="s">
        <v>87</v>
      </c>
      <c r="F2" s="769" t="s">
        <v>87</v>
      </c>
      <c r="G2" s="767" t="s">
        <v>87</v>
      </c>
      <c r="H2" s="770"/>
    </row>
    <row r="3" spans="1:8" ht="63" customHeight="1">
      <c r="A3" s="645"/>
      <c r="B3" s="645" t="s">
        <v>43</v>
      </c>
      <c r="C3" s="7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768" t="s">
        <v>1771</v>
      </c>
      <c r="E3" s="7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769"/>
      <c r="G3" s="770"/>
      <c r="H3" s="645"/>
    </row>
    <row r="4" spans="1:8" ht="243" customHeight="1">
      <c r="A4" s="645" t="s">
        <v>1772</v>
      </c>
      <c r="B4" s="645" t="s">
        <v>44</v>
      </c>
      <c r="C4" s="7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767" t="s">
        <v>1773</v>
      </c>
      <c r="E4" s="7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767"/>
      <c r="G4" s="767"/>
      <c r="H4" s="645" t="s">
        <v>1774</v>
      </c>
    </row>
    <row r="5" spans="1:8" ht="117" customHeight="1">
      <c r="A5" s="645" t="s">
        <v>1775</v>
      </c>
      <c r="B5" s="645" t="s">
        <v>24</v>
      </c>
      <c r="C5" s="7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645" t="s">
        <v>1776</v>
      </c>
      <c r="E5" s="64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770"/>
      <c r="G5" s="770"/>
      <c r="H5" s="645" t="s">
        <v>1777</v>
      </c>
    </row>
    <row r="6" spans="1:8" ht="45" customHeight="1">
      <c r="A6" s="645" t="s">
        <v>1778</v>
      </c>
      <c r="B6" s="645" t="s">
        <v>25</v>
      </c>
      <c r="C6" s="76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645" t="s">
        <v>1779</v>
      </c>
      <c r="E6" s="64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645"/>
      <c r="G6" s="645"/>
      <c r="H6" s="770"/>
    </row>
    <row r="7" spans="1:8" ht="45" customHeight="1">
      <c r="A7" s="645" t="s">
        <v>1780</v>
      </c>
      <c r="B7" s="645" t="s">
        <v>45</v>
      </c>
      <c r="C7" s="768" t="str">
        <f>IF(TEMPLATE_SPHERE="HEAT",D7,E7)</f>
        <v>Форма 11. Информация о расходах на капитальный и текущий ремонт основных средств</v>
      </c>
      <c r="D7" s="645" t="s">
        <v>1781</v>
      </c>
      <c r="E7" s="645" t="s">
        <v>1782</v>
      </c>
      <c r="F7" s="770"/>
      <c r="G7" s="770"/>
      <c r="H7" s="770"/>
    </row>
    <row r="8" spans="1:8" ht="108" customHeight="1">
      <c r="A8" s="645" t="s">
        <v>1783</v>
      </c>
      <c r="B8" s="645" t="s">
        <v>26</v>
      </c>
      <c r="C8" s="7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645" t="s">
        <v>1784</v>
      </c>
      <c r="E8" s="645" t="s">
        <v>1785</v>
      </c>
      <c r="F8" s="770"/>
      <c r="G8" s="770"/>
      <c r="H8" s="770"/>
    </row>
    <row r="9" spans="1:8" ht="99" customHeight="1">
      <c r="A9" s="645" t="s">
        <v>1786</v>
      </c>
      <c r="B9" s="645"/>
      <c r="C9" s="645" t="s">
        <v>1787</v>
      </c>
      <c r="D9" s="645"/>
      <c r="E9" s="645"/>
      <c r="F9" s="770"/>
      <c r="G9" s="770"/>
      <c r="H9" s="770"/>
    </row>
    <row r="10" spans="1:8" ht="126" customHeight="1">
      <c r="A10" s="645" t="s">
        <v>1788</v>
      </c>
      <c r="B10" s="645"/>
      <c r="C10" s="645" t="s">
        <v>1789</v>
      </c>
      <c r="D10" s="645"/>
      <c r="E10" s="645"/>
      <c r="F10" s="770"/>
      <c r="G10" s="770"/>
      <c r="H10" s="770"/>
    </row>
    <row r="11" spans="1:8" ht="108" customHeight="1">
      <c r="A11" s="645" t="s">
        <v>1790</v>
      </c>
      <c r="B11" s="645"/>
      <c r="C11" s="645" t="s">
        <v>1791</v>
      </c>
      <c r="D11" s="645"/>
      <c r="E11" s="645"/>
      <c r="F11" s="770"/>
      <c r="G11" s="770"/>
      <c r="H11" s="770"/>
    </row>
    <row r="12" spans="1:8" ht="54" customHeight="1">
      <c r="A12" s="645" t="s">
        <v>1792</v>
      </c>
      <c r="B12" s="645"/>
      <c r="C12" s="645" t="s">
        <v>1793</v>
      </c>
      <c r="D12" s="645"/>
      <c r="E12" s="645"/>
      <c r="F12" s="770"/>
      <c r="G12" s="770"/>
      <c r="H12" s="770"/>
    </row>
    <row r="13" spans="1:8" ht="45" customHeight="1">
      <c r="A13" s="645" t="s">
        <v>1794</v>
      </c>
      <c r="B13" s="645"/>
      <c r="C13" s="645" t="s">
        <v>1795</v>
      </c>
      <c r="D13" s="645"/>
      <c r="E13" s="645"/>
      <c r="F13" s="770"/>
      <c r="G13" s="770"/>
      <c r="H13" s="770"/>
    </row>
    <row r="14" spans="1:8" ht="117" customHeight="1">
      <c r="A14" s="645" t="s">
        <v>1796</v>
      </c>
      <c r="B14" s="645"/>
      <c r="C14" s="645" t="s">
        <v>1797</v>
      </c>
      <c r="D14" s="645"/>
      <c r="E14" s="645"/>
      <c r="F14" s="770"/>
      <c r="G14" s="770"/>
      <c r="H14" s="770"/>
    </row>
    <row r="15" spans="1:8" ht="117" customHeight="1">
      <c r="A15" s="645" t="s">
        <v>1798</v>
      </c>
      <c r="B15" s="645"/>
      <c r="C15" s="645" t="s">
        <v>1799</v>
      </c>
      <c r="D15" s="645"/>
      <c r="E15" s="645"/>
      <c r="F15" s="770"/>
      <c r="G15" s="770"/>
      <c r="H15" s="770"/>
    </row>
    <row r="16" spans="1:8" ht="63" customHeight="1">
      <c r="A16" s="645" t="s">
        <v>1800</v>
      </c>
      <c r="B16" s="645"/>
      <c r="C16" s="645" t="s">
        <v>1801</v>
      </c>
      <c r="D16" s="645"/>
      <c r="E16" s="645"/>
      <c r="F16" s="770"/>
      <c r="G16" s="770"/>
      <c r="H16" s="770"/>
    </row>
    <row r="17" spans="1:8" ht="54" customHeight="1">
      <c r="A17" s="645" t="s">
        <v>1802</v>
      </c>
      <c r="B17" s="645"/>
      <c r="C17" s="768" t="s">
        <v>1803</v>
      </c>
      <c r="D17" s="645"/>
      <c r="E17" s="645"/>
      <c r="F17" s="770"/>
      <c r="G17" s="770"/>
      <c r="H17" s="770"/>
    </row>
    <row r="18" spans="1:8" ht="27" customHeight="1">
      <c r="A18" s="645" t="s">
        <v>1804</v>
      </c>
      <c r="B18" s="645"/>
      <c r="C18" s="768" t="s">
        <v>1805</v>
      </c>
      <c r="D18" s="645"/>
      <c r="E18" s="645"/>
      <c r="F18" s="770"/>
      <c r="G18" s="770"/>
      <c r="H18" s="770"/>
    </row>
    <row r="19" spans="1:8" ht="54" customHeight="1">
      <c r="A19" s="645" t="s">
        <v>1806</v>
      </c>
      <c r="B19" s="645"/>
      <c r="C19" s="768" t="s">
        <v>1807</v>
      </c>
      <c r="D19" s="645"/>
      <c r="E19" s="645"/>
      <c r="F19" s="770"/>
      <c r="G19" s="770"/>
      <c r="H19" s="770"/>
    </row>
    <row r="20" spans="1:8" ht="36" customHeight="1">
      <c r="A20" s="645" t="s">
        <v>1808</v>
      </c>
      <c r="B20" s="645"/>
      <c r="C20" s="768" t="s">
        <v>1809</v>
      </c>
      <c r="D20" s="645"/>
      <c r="E20" s="645"/>
      <c r="F20" s="770"/>
      <c r="G20" s="770"/>
      <c r="H20" s="770"/>
    </row>
    <row r="21" spans="1:8" ht="36" customHeight="1">
      <c r="A21" s="645" t="s">
        <v>1810</v>
      </c>
      <c r="B21" s="645"/>
      <c r="C21" s="768" t="s">
        <v>1811</v>
      </c>
      <c r="D21" s="645"/>
      <c r="E21" s="645"/>
      <c r="F21" s="770"/>
      <c r="G21" s="770"/>
      <c r="H21" s="770"/>
    </row>
    <row r="22" spans="1:8" ht="27" customHeight="1">
      <c r="A22" s="645" t="s">
        <v>1812</v>
      </c>
      <c r="B22" s="645"/>
      <c r="C22" s="768" t="s">
        <v>1813</v>
      </c>
      <c r="D22" s="645"/>
      <c r="E22" s="645"/>
      <c r="F22" s="770"/>
      <c r="G22" s="770"/>
      <c r="H22" s="770"/>
    </row>
    <row r="23" spans="1:8" ht="36" customHeight="1">
      <c r="A23" s="645" t="s">
        <v>1814</v>
      </c>
      <c r="B23" s="645"/>
      <c r="C23" s="768" t="s">
        <v>1815</v>
      </c>
      <c r="D23" s="645"/>
      <c r="E23" s="645"/>
      <c r="F23" s="770"/>
      <c r="G23" s="770"/>
      <c r="H23" s="770"/>
    </row>
    <row r="24" spans="1:8" ht="28.5" customHeight="1">
      <c r="A24" s="645" t="s">
        <v>1816</v>
      </c>
      <c r="B24" s="645"/>
      <c r="C24" s="768" t="s">
        <v>1817</v>
      </c>
      <c r="D24" s="645"/>
      <c r="E24" s="645"/>
      <c r="F24" s="770"/>
      <c r="G24" s="770"/>
      <c r="H24" s="770"/>
    </row>
    <row r="25" spans="1:8" ht="36" customHeight="1">
      <c r="A25" s="645" t="s">
        <v>1818</v>
      </c>
      <c r="B25" s="645"/>
      <c r="C25" s="768" t="s">
        <v>1819</v>
      </c>
      <c r="D25" s="645"/>
      <c r="E25" s="645"/>
      <c r="F25" s="770"/>
      <c r="G25" s="770"/>
      <c r="H25" s="770"/>
    </row>
    <row r="26" spans="1:8" ht="27" customHeight="1">
      <c r="A26" s="645" t="s">
        <v>1820</v>
      </c>
      <c r="B26" s="645"/>
      <c r="C26" s="768" t="s">
        <v>1821</v>
      </c>
      <c r="D26" s="645"/>
      <c r="E26" s="645"/>
      <c r="F26" s="770"/>
      <c r="G26" s="770"/>
      <c r="H26" s="770"/>
    </row>
    <row r="27" spans="1:8" ht="36" customHeight="1">
      <c r="A27" s="645" t="s">
        <v>1822</v>
      </c>
      <c r="B27" s="645"/>
      <c r="C27" s="768" t="s">
        <v>1823</v>
      </c>
      <c r="D27" s="645"/>
      <c r="E27" s="645"/>
      <c r="F27" s="770"/>
      <c r="G27" s="770"/>
      <c r="H27" s="770"/>
    </row>
    <row r="28" spans="1:8" ht="28.5" customHeight="1">
      <c r="A28" s="645" t="s">
        <v>1824</v>
      </c>
      <c r="B28" s="645"/>
      <c r="C28" s="768" t="s">
        <v>1825</v>
      </c>
      <c r="D28" s="645"/>
      <c r="E28" s="645"/>
      <c r="F28" s="770"/>
      <c r="G28" s="770"/>
      <c r="H28" s="770"/>
    </row>
    <row r="29" spans="1:8" ht="126" customHeight="1">
      <c r="A29" s="645" t="s">
        <v>1826</v>
      </c>
      <c r="B29" s="645" t="s">
        <v>1493</v>
      </c>
      <c r="C29" s="7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645" t="s">
        <v>1827</v>
      </c>
      <c r="E29" s="64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770"/>
      <c r="G29" s="770"/>
      <c r="H29" s="645" t="s">
        <v>1828</v>
      </c>
    </row>
    <row r="30" spans="1:8" ht="36" customHeight="1">
      <c r="A30" s="645" t="s">
        <v>1829</v>
      </c>
      <c r="B30" s="645"/>
      <c r="C30" s="7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645" t="s">
        <v>1830</v>
      </c>
      <c r="E30" s="64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770"/>
      <c r="G30" s="770"/>
      <c r="H30" s="770"/>
    </row>
    <row r="31" spans="1:8" ht="54" customHeight="1">
      <c r="A31" s="645" t="s">
        <v>1831</v>
      </c>
      <c r="B31" s="645"/>
      <c r="C31" s="7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645" t="s">
        <v>1832</v>
      </c>
      <c r="E31" s="64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770"/>
      <c r="G31" s="770"/>
      <c r="H31" s="770"/>
    </row>
    <row r="32" spans="1:8" ht="198" customHeight="1">
      <c r="A32" s="645" t="s">
        <v>1833</v>
      </c>
      <c r="B32" s="645"/>
      <c r="C32" s="7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645" t="s">
        <v>1834</v>
      </c>
      <c r="E32" s="64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770"/>
      <c r="G32" s="770"/>
      <c r="H32" s="645" t="s">
        <v>1835</v>
      </c>
    </row>
    <row r="33" spans="1:8" ht="9" customHeight="1">
      <c r="A33" s="645"/>
      <c r="B33" s="645"/>
      <c r="C33" s="768"/>
      <c r="D33" s="645"/>
      <c r="E33" s="645"/>
      <c r="F33" s="770"/>
      <c r="G33" s="770"/>
      <c r="H33" s="770"/>
    </row>
    <row r="34" spans="1:8" ht="9" customHeight="1">
      <c r="A34" s="645"/>
      <c r="B34" s="645" t="s">
        <v>1429</v>
      </c>
      <c r="C34" s="768">
        <f>INDEX(TEMPLATE_NAME_FORM_LIST,B34,MATCH(TEMPLATE_SPHERE,TEMPLATE_SPHERE_LIST,0))</f>
        <v>0</v>
      </c>
      <c r="D34" s="645"/>
      <c r="E34" s="645"/>
      <c r="F34" s="770"/>
      <c r="G34" s="770"/>
      <c r="H34" s="7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1844"/>
    <col min="3" max="7" width="8" style="1847" customWidth="1"/>
    <col min="8" max="12" width="8.5703125" style="1847" customWidth="1"/>
    <col min="13" max="14" width="27.7109375" style="1847" customWidth="1"/>
    <col min="15" max="19" width="5.140625" style="1847" customWidth="1"/>
    <col min="20" max="24" width="27.7109375" style="1847" customWidth="1"/>
    <col min="25" max="25" width="1.85546875" style="1848" customWidth="1"/>
    <col min="26" max="26" width="27.7109375" style="1844" customWidth="1"/>
    <col min="27" max="27" width="27.7109375" style="1849" customWidth="1"/>
    <col min="28" max="29" width="27.7109375" style="1844" customWidth="1"/>
    <col min="30" max="30" width="3.85546875" style="1844" customWidth="1"/>
    <col min="31" max="34" width="9.140625" style="1844"/>
  </cols>
  <sheetData>
    <row r="1" spans="1:34" s="1846" customFormat="1" ht="18" customHeight="1">
      <c r="A1" s="687"/>
      <c r="B1" s="687"/>
      <c r="C1" s="687" t="s">
        <v>1836</v>
      </c>
      <c r="D1" s="687"/>
      <c r="E1" s="687"/>
      <c r="F1" s="687"/>
      <c r="G1" s="687"/>
      <c r="H1" s="687" t="s">
        <v>1837</v>
      </c>
      <c r="I1" s="687"/>
      <c r="J1" s="687"/>
      <c r="K1" s="687"/>
      <c r="L1" s="687"/>
      <c r="M1" s="687" t="s">
        <v>1838</v>
      </c>
      <c r="N1" s="687" t="s">
        <v>1839</v>
      </c>
      <c r="O1" s="2376" t="s">
        <v>1840</v>
      </c>
      <c r="P1" s="2376"/>
      <c r="Q1" s="2376"/>
      <c r="R1" s="2376"/>
      <c r="S1" s="2376"/>
      <c r="T1" s="2376" t="s">
        <v>1838</v>
      </c>
      <c r="U1" s="2376"/>
      <c r="V1" s="2376"/>
      <c r="W1" s="2376"/>
      <c r="X1" s="2376"/>
      <c r="Y1" s="783"/>
      <c r="Z1" s="2376" t="s">
        <v>1841</v>
      </c>
      <c r="AA1" s="2376"/>
      <c r="AB1" s="2376"/>
      <c r="AC1" s="2376"/>
      <c r="AD1" s="2376"/>
    </row>
    <row r="2" spans="1:34" ht="18" customHeight="1">
      <c r="A2" s="645"/>
      <c r="B2" s="645"/>
      <c r="C2" s="641" t="s">
        <v>641</v>
      </c>
      <c r="D2" s="641" t="s">
        <v>687</v>
      </c>
      <c r="E2" s="641" t="s">
        <v>739</v>
      </c>
      <c r="F2" s="641" t="s">
        <v>725</v>
      </c>
      <c r="G2" s="641" t="s">
        <v>1542</v>
      </c>
      <c r="H2" s="642"/>
      <c r="I2" s="642"/>
      <c r="J2" s="642"/>
      <c r="K2" s="642"/>
      <c r="L2" s="642"/>
      <c r="M2" s="642"/>
      <c r="N2" s="642"/>
      <c r="O2" s="641" t="s">
        <v>641</v>
      </c>
      <c r="P2" s="641" t="s">
        <v>687</v>
      </c>
      <c r="Q2" s="641" t="s">
        <v>725</v>
      </c>
      <c r="R2" s="641" t="s">
        <v>739</v>
      </c>
      <c r="S2" s="641" t="s">
        <v>1542</v>
      </c>
      <c r="T2" s="641" t="s">
        <v>641</v>
      </c>
      <c r="U2" s="641" t="s">
        <v>687</v>
      </c>
      <c r="V2" s="641" t="s">
        <v>725</v>
      </c>
      <c r="W2" s="641" t="s">
        <v>739</v>
      </c>
      <c r="X2" s="641" t="s">
        <v>1542</v>
      </c>
      <c r="Y2" s="641"/>
      <c r="Z2" s="641" t="s">
        <v>641</v>
      </c>
      <c r="AA2" s="649" t="s">
        <v>687</v>
      </c>
      <c r="AB2" s="641" t="s">
        <v>725</v>
      </c>
      <c r="AC2" s="641" t="s">
        <v>739</v>
      </c>
      <c r="AD2" s="641" t="s">
        <v>1542</v>
      </c>
    </row>
    <row r="3" spans="1:34" ht="162" customHeight="1">
      <c r="A3" s="644" t="s">
        <v>2</v>
      </c>
      <c r="B3" s="644"/>
      <c r="C3" s="2380" t="s">
        <v>1842</v>
      </c>
      <c r="D3" s="2381"/>
      <c r="E3" s="2381"/>
      <c r="F3" s="2382"/>
      <c r="G3" s="642"/>
      <c r="H3" s="642"/>
      <c r="I3" s="642"/>
      <c r="J3" s="642"/>
      <c r="K3" s="642"/>
      <c r="L3" s="642"/>
      <c r="M3" s="642"/>
      <c r="N3" s="64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642"/>
      <c r="P3" s="642"/>
      <c r="Q3" s="642"/>
      <c r="R3" s="642"/>
      <c r="S3" s="642"/>
      <c r="T3" s="642"/>
      <c r="U3" s="642"/>
      <c r="V3" s="642"/>
      <c r="W3" s="642"/>
      <c r="X3" s="642"/>
      <c r="Y3" s="784"/>
      <c r="Z3" s="645" t="s">
        <v>1843</v>
      </c>
      <c r="AA3" s="642" t="s">
        <v>1844</v>
      </c>
      <c r="AB3" s="645" t="s">
        <v>1845</v>
      </c>
      <c r="AC3" s="645" t="s">
        <v>1846</v>
      </c>
      <c r="AD3" s="645"/>
      <c r="AG3" s="645"/>
      <c r="AH3" s="645"/>
    </row>
    <row r="4" spans="1:34" ht="9" customHeight="1">
      <c r="A4" s="644"/>
      <c r="B4" s="644"/>
      <c r="C4" s="642"/>
      <c r="D4" s="642"/>
      <c r="E4" s="642"/>
      <c r="F4" s="642"/>
      <c r="G4" s="642"/>
      <c r="H4" s="642"/>
      <c r="I4" s="642"/>
      <c r="J4" s="642"/>
      <c r="K4" s="642"/>
      <c r="L4" s="642"/>
      <c r="M4" s="642"/>
      <c r="N4" s="642"/>
      <c r="O4" s="642"/>
      <c r="P4" s="642"/>
      <c r="Q4" s="642"/>
      <c r="R4" s="642"/>
      <c r="S4" s="642"/>
      <c r="T4" s="642"/>
      <c r="U4" s="642"/>
      <c r="V4" s="642"/>
      <c r="W4" s="642"/>
      <c r="X4" s="642"/>
      <c r="Y4" s="784"/>
      <c r="Z4" s="645"/>
      <c r="AA4" s="648"/>
      <c r="AB4" s="645"/>
      <c r="AC4" s="645"/>
      <c r="AD4" s="645"/>
    </row>
    <row r="5" spans="1:34" ht="9" customHeight="1">
      <c r="A5" s="644"/>
      <c r="B5" s="644"/>
      <c r="C5" s="642"/>
      <c r="D5" s="642"/>
      <c r="E5" s="642"/>
      <c r="F5" s="642"/>
      <c r="G5" s="642"/>
      <c r="H5" s="642"/>
      <c r="I5" s="642"/>
      <c r="J5" s="642"/>
      <c r="K5" s="642"/>
      <c r="L5" s="642"/>
      <c r="M5" s="642"/>
      <c r="N5" s="642"/>
      <c r="O5" s="642"/>
      <c r="P5" s="642"/>
      <c r="Q5" s="642"/>
      <c r="R5" s="642"/>
      <c r="S5" s="642"/>
      <c r="T5" s="642"/>
      <c r="U5" s="642"/>
      <c r="V5" s="642"/>
      <c r="W5" s="642"/>
      <c r="X5" s="642"/>
      <c r="Y5" s="784"/>
      <c r="Z5" s="645"/>
      <c r="AA5" s="648"/>
      <c r="AB5" s="645"/>
      <c r="AC5" s="645"/>
      <c r="AD5" s="645"/>
    </row>
    <row r="6" spans="1:34" ht="9" customHeight="1">
      <c r="A6" s="644"/>
      <c r="B6" s="644"/>
      <c r="C6" s="642"/>
      <c r="D6" s="642"/>
      <c r="E6" s="642"/>
      <c r="F6" s="642"/>
      <c r="G6" s="642"/>
      <c r="H6" s="642"/>
      <c r="I6" s="642"/>
      <c r="J6" s="642"/>
      <c r="K6" s="642"/>
      <c r="L6" s="642"/>
      <c r="M6" s="642"/>
      <c r="N6" s="642"/>
      <c r="O6" s="642"/>
      <c r="P6" s="642"/>
      <c r="Q6" s="642"/>
      <c r="R6" s="642"/>
      <c r="S6" s="642"/>
      <c r="T6" s="642"/>
      <c r="U6" s="642"/>
      <c r="V6" s="642"/>
      <c r="W6" s="642"/>
      <c r="X6" s="642"/>
      <c r="Y6" s="784"/>
      <c r="Z6" s="645"/>
      <c r="AA6" s="648"/>
      <c r="AB6" s="645"/>
      <c r="AC6" s="645"/>
      <c r="AD6" s="645"/>
    </row>
    <row r="7" spans="1:34" ht="9" customHeight="1">
      <c r="A7" s="644"/>
      <c r="B7" s="644"/>
      <c r="C7" s="642"/>
      <c r="D7" s="642"/>
      <c r="E7" s="642"/>
      <c r="F7" s="642"/>
      <c r="G7" s="642"/>
      <c r="H7" s="642"/>
      <c r="I7" s="642"/>
      <c r="J7" s="642"/>
      <c r="K7" s="642"/>
      <c r="L7" s="642"/>
      <c r="M7" s="642"/>
      <c r="N7" s="642"/>
      <c r="O7" s="642"/>
      <c r="P7" s="642"/>
      <c r="Q7" s="642"/>
      <c r="R7" s="642"/>
      <c r="S7" s="642"/>
      <c r="T7" s="642"/>
      <c r="U7" s="642"/>
      <c r="V7" s="642"/>
      <c r="W7" s="642"/>
      <c r="X7" s="642"/>
      <c r="Y7" s="784"/>
      <c r="Z7" s="645"/>
      <c r="AA7" s="648"/>
      <c r="AB7" s="645"/>
      <c r="AC7" s="645"/>
      <c r="AD7" s="645"/>
    </row>
    <row r="8" spans="1:34" ht="9" customHeight="1">
      <c r="A8" s="644"/>
      <c r="B8" s="644"/>
      <c r="C8" s="642"/>
      <c r="D8" s="642"/>
      <c r="E8" s="642"/>
      <c r="F8" s="642"/>
      <c r="G8" s="642"/>
      <c r="H8" s="642"/>
      <c r="I8" s="642"/>
      <c r="J8" s="642"/>
      <c r="K8" s="642"/>
      <c r="L8" s="642"/>
      <c r="M8" s="642"/>
      <c r="N8" s="642"/>
      <c r="O8" s="642"/>
      <c r="P8" s="642"/>
      <c r="Q8" s="642"/>
      <c r="R8" s="642"/>
      <c r="S8" s="642"/>
      <c r="T8" s="642"/>
      <c r="U8" s="642"/>
      <c r="V8" s="642"/>
      <c r="W8" s="642"/>
      <c r="X8" s="642"/>
      <c r="Y8" s="784"/>
      <c r="Z8" s="645"/>
      <c r="AA8" s="648"/>
      <c r="AB8" s="645"/>
      <c r="AC8" s="645"/>
      <c r="AD8" s="645"/>
    </row>
    <row r="9" spans="1:34" ht="9" customHeight="1">
      <c r="A9" s="644"/>
      <c r="B9" s="644"/>
      <c r="C9" s="642"/>
      <c r="D9" s="642"/>
      <c r="E9" s="642"/>
      <c r="F9" s="642"/>
      <c r="G9" s="642"/>
      <c r="H9" s="642"/>
      <c r="I9" s="642"/>
      <c r="J9" s="642"/>
      <c r="K9" s="642"/>
      <c r="L9" s="642"/>
      <c r="M9" s="642"/>
      <c r="N9" s="642"/>
      <c r="O9" s="642"/>
      <c r="P9" s="642"/>
      <c r="Q9" s="642"/>
      <c r="R9" s="642"/>
      <c r="S9" s="642"/>
      <c r="T9" s="642"/>
      <c r="U9" s="642"/>
      <c r="V9" s="642"/>
      <c r="W9" s="642"/>
      <c r="X9" s="642"/>
      <c r="Y9" s="784"/>
      <c r="Z9" s="645"/>
      <c r="AA9" s="648"/>
      <c r="AB9" s="645"/>
      <c r="AC9" s="645"/>
      <c r="AD9" s="645"/>
    </row>
    <row r="10" spans="1:34" ht="9" customHeight="1">
      <c r="A10" s="688"/>
      <c r="B10" s="688"/>
      <c r="C10" s="688"/>
      <c r="D10" s="688"/>
      <c r="E10" s="688"/>
      <c r="F10" s="688"/>
      <c r="G10" s="688"/>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row>
    <row r="11" spans="1:34" ht="45" customHeight="1">
      <c r="A11" s="2377" t="s">
        <v>3</v>
      </c>
      <c r="B11" s="688">
        <v>1</v>
      </c>
      <c r="C11" s="2383" t="s">
        <v>1480</v>
      </c>
      <c r="D11" s="2383" t="s">
        <v>1476</v>
      </c>
      <c r="E11" s="2383" t="s">
        <v>1574</v>
      </c>
      <c r="F11" s="2383" t="s">
        <v>1847</v>
      </c>
      <c r="G11" s="2383"/>
      <c r="H11" s="687" t="s">
        <v>1848</v>
      </c>
      <c r="I11" s="687"/>
      <c r="J11" s="687"/>
      <c r="K11" s="687"/>
      <c r="L11" s="687"/>
      <c r="M11" s="643" t="str">
        <f>IF(TEMPLATE_SPHERE="HEAT",T11,U11)</f>
        <v>Количество поданных заявок</v>
      </c>
      <c r="N11" s="64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642"/>
      <c r="P11" s="642"/>
      <c r="Q11" s="642"/>
      <c r="R11" s="642"/>
      <c r="S11" s="642"/>
      <c r="T11" s="642" t="s">
        <v>1849</v>
      </c>
      <c r="U11" s="642" t="s">
        <v>1850</v>
      </c>
      <c r="V11" s="642"/>
      <c r="W11" s="642"/>
      <c r="X11" s="642"/>
      <c r="Y11" s="784"/>
      <c r="Z11" s="645" t="s">
        <v>1851</v>
      </c>
      <c r="AA11" s="64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645"/>
      <c r="AC11" s="645"/>
      <c r="AD11" s="645"/>
    </row>
    <row r="12" spans="1:34" ht="45" customHeight="1">
      <c r="A12" s="2377"/>
      <c r="B12" s="688">
        <v>2</v>
      </c>
      <c r="C12" s="2384"/>
      <c r="D12" s="2384"/>
      <c r="E12" s="2384"/>
      <c r="F12" s="2384"/>
      <c r="G12" s="2384"/>
      <c r="H12" s="687" t="s">
        <v>1852</v>
      </c>
      <c r="I12" s="687"/>
      <c r="J12" s="687"/>
      <c r="K12" s="687"/>
      <c r="L12" s="687"/>
      <c r="M12" s="643" t="str">
        <f>IF(TEMPLATE_SPHERE="HEAT",T12,U12)</f>
        <v>Количество рассмотренных заявок</v>
      </c>
      <c r="N12" s="64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642"/>
      <c r="P12" s="642"/>
      <c r="Q12" s="642"/>
      <c r="R12" s="642"/>
      <c r="S12" s="642"/>
      <c r="T12" s="642" t="s">
        <v>1853</v>
      </c>
      <c r="U12" s="642" t="s">
        <v>1854</v>
      </c>
      <c r="V12" s="642"/>
      <c r="W12" s="642"/>
      <c r="X12" s="642"/>
      <c r="Y12" s="784"/>
      <c r="Z12" s="645" t="s">
        <v>1855</v>
      </c>
      <c r="AA12" s="64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645"/>
      <c r="AC12" s="645"/>
      <c r="AD12" s="645"/>
    </row>
    <row r="13" spans="1:34" ht="72" customHeight="1">
      <c r="A13" s="2377"/>
      <c r="B13" s="688">
        <v>3</v>
      </c>
      <c r="C13" s="2384"/>
      <c r="D13" s="2384"/>
      <c r="E13" s="2384"/>
      <c r="F13" s="2384"/>
      <c r="G13" s="2384"/>
      <c r="H13" s="2376" t="s">
        <v>1856</v>
      </c>
      <c r="I13" s="687"/>
      <c r="J13" s="687"/>
      <c r="K13" s="687"/>
      <c r="L13" s="687"/>
      <c r="M13" s="64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643" t="str">
        <f t="shared" si="0"/>
        <v>Указывается количество заявок с решением об отказе в течение отчетного квартала.</v>
      </c>
      <c r="O13" s="642"/>
      <c r="P13" s="643"/>
      <c r="Q13" s="643"/>
      <c r="R13" s="643"/>
      <c r="S13" s="642"/>
      <c r="T13" s="642" t="s">
        <v>1857</v>
      </c>
      <c r="U13" s="643" t="s">
        <v>1858</v>
      </c>
      <c r="V13" s="643"/>
      <c r="W13" s="643"/>
      <c r="X13" s="642"/>
      <c r="Y13" s="784"/>
      <c r="Z13" s="645" t="s">
        <v>1859</v>
      </c>
      <c r="AA13" s="64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645"/>
      <c r="AC13" s="645"/>
      <c r="AD13" s="645"/>
    </row>
    <row r="14" spans="1:34" ht="45" customHeight="1">
      <c r="A14" s="2377"/>
      <c r="B14" s="688">
        <v>4</v>
      </c>
      <c r="C14" s="2384"/>
      <c r="D14" s="2384"/>
      <c r="E14" s="2384"/>
      <c r="F14" s="2384"/>
      <c r="G14" s="2384"/>
      <c r="H14" s="2376"/>
      <c r="I14" s="690"/>
      <c r="J14" s="690"/>
      <c r="K14" s="690"/>
      <c r="L14" s="690"/>
      <c r="M14" s="646" t="str">
        <f>IF(TEMPLATE_SPHERE="HEAT",T14,U14)</f>
        <v>Причины отказа в заключении договора о подключении (технологическом присоединении) к системе теплоснабжения</v>
      </c>
      <c r="N14" s="64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642"/>
      <c r="P14" s="643"/>
      <c r="Q14" s="643"/>
      <c r="R14" s="643"/>
      <c r="S14" s="642"/>
      <c r="T14" s="642" t="s">
        <v>1860</v>
      </c>
      <c r="U14" s="64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643"/>
      <c r="W14" s="643"/>
      <c r="X14" s="642"/>
      <c r="Y14" s="784"/>
      <c r="Z14" s="645" t="s">
        <v>1861</v>
      </c>
      <c r="AA14" s="648" t="s">
        <v>1861</v>
      </c>
      <c r="AB14" s="645"/>
      <c r="AC14" s="645"/>
      <c r="AD14" s="645"/>
    </row>
    <row r="15" spans="1:34" ht="108" customHeight="1">
      <c r="A15" s="2377"/>
      <c r="B15" s="688">
        <v>5</v>
      </c>
      <c r="C15" s="2384"/>
      <c r="D15" s="2384"/>
      <c r="E15" s="2384"/>
      <c r="F15" s="2384"/>
      <c r="G15" s="2384"/>
      <c r="H15" s="2378" t="s">
        <v>1862</v>
      </c>
      <c r="I15" s="689"/>
      <c r="J15" s="689"/>
      <c r="K15" s="689"/>
      <c r="L15" s="689"/>
      <c r="M15" s="648" t="str">
        <f>IF(TEMPLATE_SPHERE="HEAT",T15,U15)</f>
        <v>Резерв мощности источников тепловой энергии, входящих в систему теплоснабжения, в течение одного квартала, в том числе:</v>
      </c>
      <c r="N15" s="64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642"/>
      <c r="P15" s="643"/>
      <c r="Q15" s="643"/>
      <c r="R15" s="643"/>
      <c r="S15" s="642"/>
      <c r="T15" s="642" t="s">
        <v>1863</v>
      </c>
      <c r="U15" s="64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643"/>
      <c r="W15" s="643"/>
      <c r="X15" s="642"/>
      <c r="Y15" s="784"/>
      <c r="Z15" s="645" t="s">
        <v>1864</v>
      </c>
      <c r="AA15" s="64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645"/>
      <c r="AC15" s="645"/>
      <c r="AD15" s="645"/>
    </row>
    <row r="16" spans="1:34" ht="108" customHeight="1">
      <c r="A16" s="688"/>
      <c r="B16" s="688">
        <v>6</v>
      </c>
      <c r="C16" s="2385"/>
      <c r="D16" s="2385"/>
      <c r="E16" s="2385"/>
      <c r="F16" s="2385"/>
      <c r="G16" s="2385"/>
      <c r="H16" s="2379"/>
      <c r="I16" s="747"/>
      <c r="J16" s="747"/>
      <c r="K16" s="747"/>
      <c r="L16" s="747"/>
      <c r="M16" s="681"/>
      <c r="N16" s="64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642"/>
      <c r="P16" s="643"/>
      <c r="Q16" s="643"/>
      <c r="R16" s="643"/>
      <c r="S16" s="642"/>
      <c r="T16" s="642"/>
      <c r="U16" s="643"/>
      <c r="V16" s="643"/>
      <c r="W16" s="643"/>
      <c r="X16" s="642"/>
      <c r="Y16" s="784"/>
      <c r="Z16" s="645" t="s">
        <v>1864</v>
      </c>
      <c r="AA16" s="64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645"/>
      <c r="AC16" s="645"/>
      <c r="AD16" s="645"/>
    </row>
    <row r="17" spans="1:30" ht="9" customHeight="1">
      <c r="A17" s="688"/>
      <c r="B17" s="688"/>
      <c r="C17" s="688">
        <v>22</v>
      </c>
      <c r="D17" s="688">
        <v>21</v>
      </c>
      <c r="E17" s="688">
        <v>42</v>
      </c>
      <c r="F17" s="688">
        <v>63</v>
      </c>
      <c r="G17" s="688"/>
      <c r="H17" s="688"/>
      <c r="I17" s="688"/>
      <c r="J17" s="688"/>
      <c r="K17" s="688"/>
      <c r="L17" s="688"/>
      <c r="M17" s="688"/>
      <c r="N17" s="688"/>
      <c r="O17" s="688"/>
      <c r="P17" s="688"/>
      <c r="Q17" s="688"/>
      <c r="R17" s="688"/>
      <c r="S17" s="688"/>
      <c r="T17" s="688"/>
      <c r="U17" s="688"/>
      <c r="V17" s="688"/>
      <c r="W17" s="688"/>
      <c r="X17" s="688"/>
      <c r="Y17" s="688"/>
      <c r="Z17" s="688"/>
      <c r="AA17" s="688"/>
      <c r="AB17" s="688"/>
      <c r="AC17" s="688"/>
      <c r="AD17" s="688"/>
    </row>
    <row r="18" spans="1:30" ht="27" customHeight="1">
      <c r="A18" s="644" t="s">
        <v>1577</v>
      </c>
      <c r="B18" s="688">
        <v>1</v>
      </c>
      <c r="C18" s="642" t="s">
        <v>1848</v>
      </c>
      <c r="D18" s="752" t="s">
        <v>1848</v>
      </c>
      <c r="E18" s="642" t="s">
        <v>1848</v>
      </c>
      <c r="F18" s="642" t="s">
        <v>1848</v>
      </c>
      <c r="G18" s="642"/>
      <c r="H18" s="785"/>
      <c r="I18" s="788">
        <f t="shared" ref="I18:I49" si="1">INDEX(TEMPLATE_NUMBER_POINT_FHD,B18,MATCH(TEMPLATE_SPHERE,TEMPLATE_SPHERE_LIST_FOR_NOTE,0))</f>
        <v>1</v>
      </c>
      <c r="J18" s="788" t="str">
        <f t="shared" ref="J18:J49" si="2">INDEX(TEMPLATE_DATA_POINT_FHD,B18,MATCH(TEMPLATE_SPHERE,TEMPLATE_SPHERE_LIST_FOR_NOTE,0))</f>
        <v>Выручка от регулируемого вида деятельности с распределением по видам деятельности</v>
      </c>
      <c r="K18" s="78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643">
        <f t="shared" ref="L18:L49" si="4">IF(I18=0,"",I18)</f>
        <v>1</v>
      </c>
      <c r="M18" s="643" t="str">
        <f t="shared" ref="M18:M49" si="5">IF(J18=0,"",J18)</f>
        <v>Выручка от регулируемого вида деятельности с распределением по видам деятельности</v>
      </c>
      <c r="N18" s="643" t="str">
        <f t="shared" ref="N18:N49" si="6">IF(K18=0,"",K18)</f>
        <v>Указывается выручка от регулируемого вида деятельности с распределением по видам деятельности.</v>
      </c>
      <c r="O18" s="742">
        <v>1</v>
      </c>
      <c r="P18" s="742">
        <v>1</v>
      </c>
      <c r="Q18" s="742">
        <v>1</v>
      </c>
      <c r="R18" s="742">
        <v>1</v>
      </c>
      <c r="S18" s="742"/>
      <c r="T18" s="749" t="s">
        <v>1865</v>
      </c>
      <c r="U18" s="645" t="s">
        <v>1866</v>
      </c>
      <c r="V18" s="645" t="s">
        <v>1867</v>
      </c>
      <c r="W18" s="645" t="s">
        <v>1868</v>
      </c>
      <c r="X18" s="642"/>
      <c r="Y18" s="784"/>
      <c r="Z18" s="645" t="s">
        <v>1869</v>
      </c>
      <c r="AA18" s="648" t="s">
        <v>1870</v>
      </c>
      <c r="AB18" s="648" t="s">
        <v>1870</v>
      </c>
      <c r="AC18" s="648" t="s">
        <v>1870</v>
      </c>
      <c r="AD18" s="645"/>
    </row>
    <row r="19" spans="1:30" ht="36" customHeight="1">
      <c r="A19" s="644"/>
      <c r="B19" s="688">
        <v>2</v>
      </c>
      <c r="C19" s="642" t="s">
        <v>1852</v>
      </c>
      <c r="D19" s="752" t="s">
        <v>1852</v>
      </c>
      <c r="E19" s="642" t="s">
        <v>1852</v>
      </c>
      <c r="F19" s="642" t="s">
        <v>1852</v>
      </c>
      <c r="G19" s="642"/>
      <c r="H19" s="785"/>
      <c r="I19" s="788">
        <f t="shared" si="1"/>
        <v>2</v>
      </c>
      <c r="J19" s="788" t="str">
        <f t="shared" si="2"/>
        <v>Себестоимость производимых товаров (оказываемых услуг) по регулируемому виду деятельности, включая:</v>
      </c>
      <c r="K19" s="788" t="str">
        <f t="shared" si="3"/>
        <v>Указывается суммарная себестоимость производимых товаров.</v>
      </c>
      <c r="L19" s="643">
        <f t="shared" si="4"/>
        <v>2</v>
      </c>
      <c r="M19" s="643" t="str">
        <f t="shared" si="5"/>
        <v>Себестоимость производимых товаров (оказываемых услуг) по регулируемому виду деятельности, включая:</v>
      </c>
      <c r="N19" s="643" t="str">
        <f t="shared" si="6"/>
        <v>Указывается суммарная себестоимость производимых товаров.</v>
      </c>
      <c r="O19" s="742">
        <v>2</v>
      </c>
      <c r="P19" s="742">
        <v>2</v>
      </c>
      <c r="Q19" s="742">
        <v>2</v>
      </c>
      <c r="R19" s="742">
        <v>2</v>
      </c>
      <c r="S19" s="742"/>
      <c r="T19" s="749" t="s">
        <v>1871</v>
      </c>
      <c r="U19" s="645" t="s">
        <v>1872</v>
      </c>
      <c r="V19" s="645" t="s">
        <v>1873</v>
      </c>
      <c r="W19" s="645" t="s">
        <v>1874</v>
      </c>
      <c r="X19" s="642"/>
      <c r="Y19" s="784"/>
      <c r="Z19" s="645" t="s">
        <v>1875</v>
      </c>
      <c r="AA19" s="648" t="s">
        <v>1875</v>
      </c>
      <c r="AB19" s="648" t="s">
        <v>1875</v>
      </c>
      <c r="AC19" s="648" t="s">
        <v>1875</v>
      </c>
      <c r="AD19" s="645"/>
    </row>
    <row r="20" spans="1:30" ht="27" customHeight="1">
      <c r="A20" s="644"/>
      <c r="B20" s="688">
        <v>3</v>
      </c>
      <c r="C20" s="642">
        <v>1</v>
      </c>
      <c r="D20" s="752"/>
      <c r="E20" s="642"/>
      <c r="F20" s="642"/>
      <c r="G20" s="642"/>
      <c r="H20" s="785"/>
      <c r="I20" s="788" t="str">
        <f t="shared" si="1"/>
        <v>2.1</v>
      </c>
      <c r="J20" s="788" t="str">
        <f t="shared" si="2"/>
        <v>Расходы на приобретаемую тепловую энергию (мощность), теплоноситель</v>
      </c>
      <c r="K20" s="788">
        <f t="shared" si="3"/>
        <v>0</v>
      </c>
      <c r="L20" s="643" t="str">
        <f t="shared" si="4"/>
        <v>2.1</v>
      </c>
      <c r="M20" s="643" t="str">
        <f t="shared" si="5"/>
        <v>Расходы на приобретаемую тепловую энергию (мощность), теплоноситель</v>
      </c>
      <c r="N20" s="643" t="str">
        <f t="shared" si="6"/>
        <v/>
      </c>
      <c r="O20" s="742" t="s">
        <v>541</v>
      </c>
      <c r="P20" s="742" t="s">
        <v>541</v>
      </c>
      <c r="Q20" s="742" t="s">
        <v>541</v>
      </c>
      <c r="R20" s="742" t="s">
        <v>541</v>
      </c>
      <c r="S20" s="742"/>
      <c r="T20" s="749" t="s">
        <v>1876</v>
      </c>
      <c r="U20" s="645" t="s">
        <v>1877</v>
      </c>
      <c r="V20" s="645" t="s">
        <v>1878</v>
      </c>
      <c r="W20" s="645" t="s">
        <v>1879</v>
      </c>
      <c r="X20" s="642"/>
      <c r="Y20" s="784"/>
      <c r="Z20" s="645"/>
      <c r="AA20" s="648"/>
      <c r="AB20" s="645"/>
      <c r="AC20" s="645"/>
      <c r="AD20" s="645"/>
    </row>
    <row r="21" spans="1:30" ht="36" customHeight="1">
      <c r="A21" s="644"/>
      <c r="B21" s="688">
        <v>4</v>
      </c>
      <c r="C21" s="642">
        <v>2</v>
      </c>
      <c r="D21" s="752"/>
      <c r="E21" s="642"/>
      <c r="F21" s="642"/>
      <c r="G21" s="642"/>
      <c r="H21" s="785"/>
      <c r="I21" s="788" t="str">
        <f t="shared" si="1"/>
        <v>2.2</v>
      </c>
      <c r="J21" s="78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788" t="str">
        <f t="shared" si="3"/>
        <v>Указываются суммарные расходы на приобретение топлива всех видов.</v>
      </c>
      <c r="L21" s="643" t="str">
        <f t="shared" si="4"/>
        <v>2.2</v>
      </c>
      <c r="M21" s="64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643" t="str">
        <f t="shared" si="6"/>
        <v>Указываются суммарные расходы на приобретение топлива всех видов.</v>
      </c>
      <c r="O21" s="742" t="s">
        <v>231</v>
      </c>
      <c r="P21" s="742"/>
      <c r="Q21" s="742"/>
      <c r="R21" s="742"/>
      <c r="S21" s="742"/>
      <c r="T21" s="749" t="s">
        <v>1880</v>
      </c>
      <c r="U21" s="645"/>
      <c r="V21" s="645"/>
      <c r="W21" s="645"/>
      <c r="X21" s="642"/>
      <c r="Y21" s="784"/>
      <c r="Z21" s="645" t="s">
        <v>1881</v>
      </c>
      <c r="AA21" s="648"/>
      <c r="AB21" s="645"/>
      <c r="AC21" s="645"/>
      <c r="AD21" s="645"/>
    </row>
    <row r="22" spans="1:30" ht="36" customHeight="1">
      <c r="A22" s="644"/>
      <c r="B22" s="688">
        <v>5</v>
      </c>
      <c r="C22" s="642">
        <v>3</v>
      </c>
      <c r="D22" s="752"/>
      <c r="E22" s="642"/>
      <c r="F22" s="642"/>
      <c r="G22" s="680"/>
      <c r="H22" s="743"/>
      <c r="I22" s="788">
        <f t="shared" si="1"/>
        <v>0</v>
      </c>
      <c r="J22" s="788">
        <f t="shared" si="2"/>
        <v>0</v>
      </c>
      <c r="K22" s="788">
        <f t="shared" si="3"/>
        <v>0</v>
      </c>
      <c r="L22" s="643" t="str">
        <f t="shared" si="4"/>
        <v/>
      </c>
      <c r="M22" s="643" t="str">
        <f t="shared" si="5"/>
        <v/>
      </c>
      <c r="N22" s="643" t="str">
        <f t="shared" si="6"/>
        <v/>
      </c>
      <c r="O22" s="742"/>
      <c r="P22" s="742"/>
      <c r="Q22" s="742" t="s">
        <v>231</v>
      </c>
      <c r="R22" s="742"/>
      <c r="S22" s="742"/>
      <c r="T22" s="749"/>
      <c r="U22" s="645"/>
      <c r="V22" s="645" t="s">
        <v>1882</v>
      </c>
      <c r="W22" s="645"/>
      <c r="X22" s="642"/>
      <c r="Y22" s="784"/>
      <c r="Z22" s="645"/>
      <c r="AA22" s="648"/>
      <c r="AB22" s="645"/>
      <c r="AC22" s="645"/>
      <c r="AD22" s="645"/>
    </row>
    <row r="23" spans="1:30" ht="27" customHeight="1">
      <c r="A23" s="644"/>
      <c r="B23" s="688">
        <v>6</v>
      </c>
      <c r="C23" s="642">
        <v>4</v>
      </c>
      <c r="D23" s="752"/>
      <c r="E23" s="642"/>
      <c r="F23" s="642"/>
      <c r="G23" s="680"/>
      <c r="H23" s="743"/>
      <c r="I23" s="788">
        <f t="shared" si="1"/>
        <v>0</v>
      </c>
      <c r="J23" s="788">
        <f t="shared" si="2"/>
        <v>0</v>
      </c>
      <c r="K23" s="788">
        <f t="shared" si="3"/>
        <v>0</v>
      </c>
      <c r="L23" s="643" t="str">
        <f t="shared" si="4"/>
        <v/>
      </c>
      <c r="M23" s="643" t="str">
        <f t="shared" si="5"/>
        <v/>
      </c>
      <c r="N23" s="643" t="str">
        <f t="shared" si="6"/>
        <v/>
      </c>
      <c r="O23" s="742"/>
      <c r="P23" s="742"/>
      <c r="Q23" s="742" t="s">
        <v>234</v>
      </c>
      <c r="R23" s="742"/>
      <c r="S23" s="742"/>
      <c r="T23" s="749"/>
      <c r="U23" s="645"/>
      <c r="V23" s="645" t="s">
        <v>1883</v>
      </c>
      <c r="W23" s="645"/>
      <c r="X23" s="642"/>
      <c r="Y23" s="784"/>
      <c r="Z23" s="645"/>
      <c r="AA23" s="648"/>
      <c r="AB23" s="645"/>
      <c r="AC23" s="645"/>
      <c r="AD23" s="645"/>
    </row>
    <row r="24" spans="1:30" ht="36" customHeight="1">
      <c r="A24" s="644"/>
      <c r="B24" s="688">
        <v>7</v>
      </c>
      <c r="C24" s="642">
        <v>5</v>
      </c>
      <c r="D24" s="752"/>
      <c r="E24" s="642"/>
      <c r="F24" s="642"/>
      <c r="G24" s="680"/>
      <c r="H24" s="743"/>
      <c r="I24" s="788">
        <f t="shared" si="1"/>
        <v>0</v>
      </c>
      <c r="J24" s="788">
        <f t="shared" si="2"/>
        <v>0</v>
      </c>
      <c r="K24" s="788">
        <f t="shared" si="3"/>
        <v>0</v>
      </c>
      <c r="L24" s="643" t="str">
        <f t="shared" si="4"/>
        <v/>
      </c>
      <c r="M24" s="643" t="str">
        <f t="shared" si="5"/>
        <v/>
      </c>
      <c r="N24" s="643" t="str">
        <f t="shared" si="6"/>
        <v/>
      </c>
      <c r="O24" s="742"/>
      <c r="P24" s="742"/>
      <c r="Q24" s="742" t="s">
        <v>561</v>
      </c>
      <c r="R24" s="742"/>
      <c r="S24" s="742"/>
      <c r="T24" s="749"/>
      <c r="U24" s="645"/>
      <c r="V24" s="645" t="s">
        <v>1884</v>
      </c>
      <c r="W24" s="645"/>
      <c r="X24" s="642"/>
      <c r="Y24" s="784"/>
      <c r="Z24" s="645"/>
      <c r="AA24" s="648"/>
      <c r="AB24" s="645"/>
      <c r="AC24" s="645"/>
      <c r="AD24" s="645"/>
    </row>
    <row r="25" spans="1:30" ht="36" customHeight="1">
      <c r="A25" s="644"/>
      <c r="B25" s="688">
        <v>8</v>
      </c>
      <c r="C25" s="642">
        <v>6</v>
      </c>
      <c r="D25" s="752"/>
      <c r="E25" s="642"/>
      <c r="F25" s="642"/>
      <c r="G25" s="680"/>
      <c r="H25" s="743"/>
      <c r="I25" s="788" t="str">
        <f t="shared" si="1"/>
        <v>2.3</v>
      </c>
      <c r="J25" s="788" t="str">
        <f t="shared" si="2"/>
        <v>Расходы на приобретаемую электрическую энергию (мощность), используемую в технологическом процессе</v>
      </c>
      <c r="K25" s="788">
        <f t="shared" si="3"/>
        <v>0</v>
      </c>
      <c r="L25" s="643" t="str">
        <f t="shared" si="4"/>
        <v>2.3</v>
      </c>
      <c r="M25" s="643" t="str">
        <f t="shared" si="5"/>
        <v>Расходы на приобретаемую электрическую энергию (мощность), используемую в технологическом процессе</v>
      </c>
      <c r="N25" s="643" t="str">
        <f t="shared" si="6"/>
        <v/>
      </c>
      <c r="O25" s="742" t="s">
        <v>234</v>
      </c>
      <c r="P25" s="742" t="s">
        <v>231</v>
      </c>
      <c r="Q25" s="742" t="s">
        <v>568</v>
      </c>
      <c r="R25" s="742" t="s">
        <v>231</v>
      </c>
      <c r="S25" s="742"/>
      <c r="T25" s="749" t="s">
        <v>1885</v>
      </c>
      <c r="U25" s="645" t="s">
        <v>1885</v>
      </c>
      <c r="V25" s="645" t="s">
        <v>1885</v>
      </c>
      <c r="W25" s="645" t="s">
        <v>1885</v>
      </c>
      <c r="X25" s="642"/>
      <c r="Y25" s="784"/>
      <c r="Z25" s="645"/>
      <c r="AA25" s="648"/>
      <c r="AB25" s="645"/>
      <c r="AC25" s="645"/>
      <c r="AD25" s="645"/>
    </row>
    <row r="26" spans="1:30" ht="18" customHeight="1">
      <c r="A26" s="644"/>
      <c r="B26" s="688">
        <v>9</v>
      </c>
      <c r="C26" s="642" t="s">
        <v>737</v>
      </c>
      <c r="D26" s="752"/>
      <c r="E26" s="642"/>
      <c r="F26" s="642"/>
      <c r="G26" s="680"/>
      <c r="H26" s="743"/>
      <c r="I26" s="788" t="str">
        <f t="shared" si="1"/>
        <v>2.3.1</v>
      </c>
      <c r="J26" s="788" t="str">
        <f t="shared" si="2"/>
        <v>Средневзвешенная стоимость 1 кВт.ч (с учетом мощности)</v>
      </c>
      <c r="K26" s="788">
        <f t="shared" si="3"/>
        <v>0</v>
      </c>
      <c r="L26" s="643" t="str">
        <f t="shared" si="4"/>
        <v>2.3.1</v>
      </c>
      <c r="M26" s="643" t="str">
        <f t="shared" si="5"/>
        <v>Средневзвешенная стоимость 1 кВт.ч (с учетом мощности)</v>
      </c>
      <c r="N26" s="643" t="str">
        <f t="shared" si="6"/>
        <v/>
      </c>
      <c r="O26" s="742" t="s">
        <v>557</v>
      </c>
      <c r="P26" s="742" t="s">
        <v>551</v>
      </c>
      <c r="Q26" s="742" t="s">
        <v>1886</v>
      </c>
      <c r="R26" s="742" t="s">
        <v>551</v>
      </c>
      <c r="S26" s="742"/>
      <c r="T26" s="749" t="s">
        <v>1887</v>
      </c>
      <c r="U26" s="749" t="s">
        <v>1887</v>
      </c>
      <c r="V26" s="749" t="s">
        <v>1887</v>
      </c>
      <c r="W26" s="749" t="s">
        <v>1887</v>
      </c>
      <c r="X26" s="642"/>
      <c r="Y26" s="784"/>
      <c r="Z26" s="645"/>
      <c r="AA26" s="648"/>
      <c r="AB26" s="645"/>
      <c r="AC26" s="645"/>
      <c r="AD26" s="645"/>
    </row>
    <row r="27" spans="1:30" ht="18" customHeight="1">
      <c r="A27" s="644"/>
      <c r="B27" s="688">
        <v>10</v>
      </c>
      <c r="C27" s="642" t="s">
        <v>1888</v>
      </c>
      <c r="D27" s="752"/>
      <c r="E27" s="642"/>
      <c r="F27" s="642"/>
      <c r="G27" s="680"/>
      <c r="H27" s="743"/>
      <c r="I27" s="788" t="str">
        <f t="shared" si="1"/>
        <v>2.3.2</v>
      </c>
      <c r="J27" s="788" t="str">
        <f t="shared" si="2"/>
        <v>Объём приобретения электрической энергии</v>
      </c>
      <c r="K27" s="788">
        <f t="shared" si="3"/>
        <v>0</v>
      </c>
      <c r="L27" s="643" t="str">
        <f t="shared" si="4"/>
        <v>2.3.2</v>
      </c>
      <c r="M27" s="643" t="str">
        <f t="shared" si="5"/>
        <v>Объём приобретения электрической энергии</v>
      </c>
      <c r="N27" s="643" t="str">
        <f t="shared" si="6"/>
        <v/>
      </c>
      <c r="O27" s="742" t="s">
        <v>559</v>
      </c>
      <c r="P27" s="742" t="s">
        <v>553</v>
      </c>
      <c r="Q27" s="742" t="s">
        <v>1889</v>
      </c>
      <c r="R27" s="742" t="s">
        <v>553</v>
      </c>
      <c r="S27" s="742"/>
      <c r="T27" s="749" t="s">
        <v>1890</v>
      </c>
      <c r="U27" s="749" t="s">
        <v>1890</v>
      </c>
      <c r="V27" s="749" t="s">
        <v>1890</v>
      </c>
      <c r="W27" s="749" t="s">
        <v>1890</v>
      </c>
      <c r="X27" s="642"/>
      <c r="Y27" s="784"/>
      <c r="Z27" s="645"/>
      <c r="AA27" s="648"/>
      <c r="AB27" s="645"/>
      <c r="AC27" s="645"/>
      <c r="AD27" s="645"/>
    </row>
    <row r="28" spans="1:30" ht="27" customHeight="1">
      <c r="A28" s="644"/>
      <c r="B28" s="688">
        <v>11</v>
      </c>
      <c r="C28" s="642">
        <v>7</v>
      </c>
      <c r="D28" s="752"/>
      <c r="E28" s="642"/>
      <c r="F28" s="642"/>
      <c r="G28" s="680"/>
      <c r="H28" s="743"/>
      <c r="I28" s="788" t="str">
        <f t="shared" si="1"/>
        <v>2.4</v>
      </c>
      <c r="J28" s="788" t="str">
        <f t="shared" si="2"/>
        <v>Расходы на приобретение холодной воды, используемой в технологическом процессе</v>
      </c>
      <c r="K28" s="788">
        <f t="shared" si="3"/>
        <v>0</v>
      </c>
      <c r="L28" s="643" t="str">
        <f t="shared" si="4"/>
        <v>2.4</v>
      </c>
      <c r="M28" s="643" t="str">
        <f t="shared" si="5"/>
        <v>Расходы на приобретение холодной воды, используемой в технологическом процессе</v>
      </c>
      <c r="N28" s="643" t="str">
        <f t="shared" si="6"/>
        <v/>
      </c>
      <c r="O28" s="742" t="s">
        <v>561</v>
      </c>
      <c r="P28" s="742"/>
      <c r="Q28" s="742"/>
      <c r="R28" s="742"/>
      <c r="S28" s="742"/>
      <c r="T28" s="749" t="s">
        <v>1891</v>
      </c>
      <c r="U28" s="645"/>
      <c r="V28" s="645"/>
      <c r="W28" s="645"/>
      <c r="X28" s="642"/>
      <c r="Y28" s="784"/>
      <c r="Z28" s="645"/>
      <c r="AA28" s="648"/>
      <c r="AB28" s="645"/>
      <c r="AC28" s="645"/>
      <c r="AD28" s="645"/>
    </row>
    <row r="29" spans="1:30" ht="27" customHeight="1">
      <c r="A29" s="644"/>
      <c r="B29" s="688">
        <v>12</v>
      </c>
      <c r="C29" s="642">
        <v>8</v>
      </c>
      <c r="D29" s="752"/>
      <c r="E29" s="642"/>
      <c r="F29" s="642"/>
      <c r="G29" s="680"/>
      <c r="H29" s="743"/>
      <c r="I29" s="788" t="str">
        <f t="shared" si="1"/>
        <v>2.5</v>
      </c>
      <c r="J29" s="788" t="str">
        <f t="shared" si="2"/>
        <v>Расходы на химические реагенты, используемые в технологическом процессе</v>
      </c>
      <c r="K29" s="788">
        <f t="shared" si="3"/>
        <v>0</v>
      </c>
      <c r="L29" s="643" t="str">
        <f t="shared" si="4"/>
        <v>2.5</v>
      </c>
      <c r="M29" s="643" t="str">
        <f t="shared" si="5"/>
        <v>Расходы на химические реагенты, используемые в технологическом процессе</v>
      </c>
      <c r="N29" s="643" t="str">
        <f t="shared" si="6"/>
        <v/>
      </c>
      <c r="O29" s="742" t="s">
        <v>568</v>
      </c>
      <c r="P29" s="742" t="s">
        <v>234</v>
      </c>
      <c r="Q29" s="742"/>
      <c r="R29" s="742" t="s">
        <v>234</v>
      </c>
      <c r="S29" s="742"/>
      <c r="T29" s="749" t="s">
        <v>1892</v>
      </c>
      <c r="U29" s="645" t="s">
        <v>1892</v>
      </c>
      <c r="V29" s="645"/>
      <c r="W29" s="645" t="s">
        <v>1892</v>
      </c>
      <c r="X29" s="642"/>
      <c r="Y29" s="784"/>
      <c r="Z29" s="645"/>
      <c r="AA29" s="648"/>
      <c r="AB29" s="645"/>
      <c r="AC29" s="645"/>
      <c r="AD29" s="645"/>
    </row>
    <row r="30" spans="1:30" ht="54" customHeight="1">
      <c r="A30" s="644"/>
      <c r="B30" s="688">
        <v>13</v>
      </c>
      <c r="C30" s="642">
        <v>9</v>
      </c>
      <c r="D30" s="752"/>
      <c r="E30" s="642"/>
      <c r="F30" s="642"/>
      <c r="G30" s="680"/>
      <c r="H30" s="743"/>
      <c r="I30" s="788" t="str">
        <f t="shared" si="1"/>
        <v>2.6</v>
      </c>
      <c r="J30" s="7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788">
        <f t="shared" si="3"/>
        <v>0</v>
      </c>
      <c r="L30" s="643" t="str">
        <f t="shared" si="4"/>
        <v>2.6</v>
      </c>
      <c r="M30" s="64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643" t="str">
        <f t="shared" si="6"/>
        <v/>
      </c>
      <c r="O30" s="742" t="s">
        <v>570</v>
      </c>
      <c r="P30" s="742" t="s">
        <v>561</v>
      </c>
      <c r="Q30" s="742" t="s">
        <v>570</v>
      </c>
      <c r="R30" s="742" t="s">
        <v>561</v>
      </c>
      <c r="S30" s="742"/>
      <c r="T30" s="749" t="s">
        <v>1893</v>
      </c>
      <c r="U30" s="645" t="s">
        <v>1893</v>
      </c>
      <c r="V30" s="645" t="s">
        <v>1893</v>
      </c>
      <c r="W30" s="645" t="s">
        <v>1893</v>
      </c>
      <c r="X30" s="642"/>
      <c r="Y30" s="784"/>
      <c r="Z30" s="645"/>
      <c r="AA30" s="648" t="s">
        <v>1894</v>
      </c>
      <c r="AB30" s="648" t="s">
        <v>1894</v>
      </c>
      <c r="AC30" s="648" t="s">
        <v>1894</v>
      </c>
      <c r="AD30" s="645"/>
    </row>
    <row r="31" spans="1:30" ht="18" customHeight="1">
      <c r="A31" s="644"/>
      <c r="B31" s="688">
        <v>14</v>
      </c>
      <c r="C31" s="642" t="s">
        <v>1895</v>
      </c>
      <c r="D31" s="752"/>
      <c r="E31" s="642"/>
      <c r="F31" s="642"/>
      <c r="G31" s="680"/>
      <c r="H31" s="743"/>
      <c r="I31" s="788" t="str">
        <f t="shared" si="1"/>
        <v>2.6.1</v>
      </c>
      <c r="J31" s="788" t="str">
        <f t="shared" si="2"/>
        <v>Расходы на оплату труда основного производственного персонала</v>
      </c>
      <c r="K31" s="788">
        <f t="shared" si="3"/>
        <v>0</v>
      </c>
      <c r="L31" s="643" t="str">
        <f t="shared" si="4"/>
        <v>2.6.1</v>
      </c>
      <c r="M31" s="643" t="str">
        <f t="shared" si="5"/>
        <v>Расходы на оплату труда основного производственного персонала</v>
      </c>
      <c r="N31" s="643" t="str">
        <f t="shared" si="6"/>
        <v/>
      </c>
      <c r="O31" s="742" t="s">
        <v>1896</v>
      </c>
      <c r="P31" s="742" t="s">
        <v>564</v>
      </c>
      <c r="Q31" s="742" t="s">
        <v>1896</v>
      </c>
      <c r="R31" s="742" t="s">
        <v>564</v>
      </c>
      <c r="S31" s="742"/>
      <c r="T31" s="750" t="s">
        <v>1897</v>
      </c>
      <c r="U31" s="645" t="s">
        <v>1897</v>
      </c>
      <c r="V31" s="645" t="s">
        <v>1897</v>
      </c>
      <c r="W31" s="645" t="s">
        <v>1897</v>
      </c>
      <c r="X31" s="642"/>
      <c r="Y31" s="784"/>
      <c r="Z31" s="645"/>
      <c r="AA31" s="648"/>
      <c r="AB31" s="648"/>
      <c r="AC31" s="648"/>
      <c r="AD31" s="645"/>
    </row>
    <row r="32" spans="1:30" ht="36" customHeight="1">
      <c r="A32" s="644"/>
      <c r="B32" s="688">
        <v>15</v>
      </c>
      <c r="C32" s="642" t="s">
        <v>1898</v>
      </c>
      <c r="D32" s="752"/>
      <c r="E32" s="642"/>
      <c r="F32" s="642"/>
      <c r="G32" s="680"/>
      <c r="H32" s="743"/>
      <c r="I32" s="788" t="str">
        <f t="shared" si="1"/>
        <v>2.6.2</v>
      </c>
      <c r="J32" s="7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788">
        <f t="shared" si="3"/>
        <v>0</v>
      </c>
      <c r="L32" s="643" t="str">
        <f t="shared" si="4"/>
        <v>2.6.2</v>
      </c>
      <c r="M32" s="643" t="str">
        <f t="shared" si="5"/>
        <v>Страховые взносы на обязательное социальное страхование, выплачиваемые из фонда оплаты труда основного производственного персонала</v>
      </c>
      <c r="N32" s="643" t="str">
        <f t="shared" si="6"/>
        <v/>
      </c>
      <c r="O32" s="742" t="s">
        <v>1899</v>
      </c>
      <c r="P32" s="742" t="s">
        <v>566</v>
      </c>
      <c r="Q32" s="742" t="s">
        <v>1899</v>
      </c>
      <c r="R32" s="742" t="s">
        <v>566</v>
      </c>
      <c r="S32" s="742"/>
      <c r="T32" s="751" t="s">
        <v>1900</v>
      </c>
      <c r="U32" s="645" t="s">
        <v>1900</v>
      </c>
      <c r="V32" s="645" t="s">
        <v>1900</v>
      </c>
      <c r="W32" s="645" t="s">
        <v>1900</v>
      </c>
      <c r="X32" s="642"/>
      <c r="Y32" s="784"/>
      <c r="Z32" s="645"/>
      <c r="AA32" s="648"/>
      <c r="AB32" s="648"/>
      <c r="AC32" s="648"/>
      <c r="AD32" s="645"/>
    </row>
    <row r="33" spans="1:30" ht="45" customHeight="1">
      <c r="A33" s="644"/>
      <c r="B33" s="688">
        <v>16</v>
      </c>
      <c r="C33" s="642">
        <v>10</v>
      </c>
      <c r="D33" s="752"/>
      <c r="E33" s="642"/>
      <c r="F33" s="642"/>
      <c r="G33" s="680"/>
      <c r="H33" s="743"/>
      <c r="I33" s="788" t="str">
        <f t="shared" si="1"/>
        <v>2.7</v>
      </c>
      <c r="J33" s="7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788">
        <f t="shared" si="3"/>
        <v>0</v>
      </c>
      <c r="L33" s="643" t="str">
        <f t="shared" si="4"/>
        <v>2.7</v>
      </c>
      <c r="M33" s="64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643" t="str">
        <f t="shared" si="6"/>
        <v/>
      </c>
      <c r="O33" s="742" t="s">
        <v>572</v>
      </c>
      <c r="P33" s="742" t="s">
        <v>568</v>
      </c>
      <c r="Q33" s="742" t="s">
        <v>572</v>
      </c>
      <c r="R33" s="742" t="s">
        <v>568</v>
      </c>
      <c r="S33" s="742"/>
      <c r="T33" s="750" t="s">
        <v>1901</v>
      </c>
      <c r="U33" s="645" t="s">
        <v>1901</v>
      </c>
      <c r="V33" s="645" t="s">
        <v>1901</v>
      </c>
      <c r="W33" s="645" t="s">
        <v>1902</v>
      </c>
      <c r="X33" s="642"/>
      <c r="Y33" s="784"/>
      <c r="Z33" s="645"/>
      <c r="AA33" s="648" t="s">
        <v>1903</v>
      </c>
      <c r="AB33" s="648" t="s">
        <v>1903</v>
      </c>
      <c r="AC33" s="648" t="s">
        <v>1903</v>
      </c>
      <c r="AD33" s="645"/>
    </row>
    <row r="34" spans="1:30" ht="27" customHeight="1">
      <c r="A34" s="644"/>
      <c r="B34" s="688">
        <v>17</v>
      </c>
      <c r="C34" s="642" t="s">
        <v>1904</v>
      </c>
      <c r="D34" s="752"/>
      <c r="E34" s="642"/>
      <c r="F34" s="642"/>
      <c r="G34" s="680"/>
      <c r="H34" s="743"/>
      <c r="I34" s="788" t="str">
        <f t="shared" si="1"/>
        <v>2.7.1</v>
      </c>
      <c r="J34" s="788" t="str">
        <f t="shared" si="2"/>
        <v>Расходы на оплату труда административно-управленческого персонала</v>
      </c>
      <c r="K34" s="788">
        <f t="shared" si="3"/>
        <v>0</v>
      </c>
      <c r="L34" s="643" t="str">
        <f t="shared" si="4"/>
        <v>2.7.1</v>
      </c>
      <c r="M34" s="643" t="str">
        <f t="shared" si="5"/>
        <v>Расходы на оплату труда административно-управленческого персонала</v>
      </c>
      <c r="N34" s="643" t="str">
        <f t="shared" si="6"/>
        <v/>
      </c>
      <c r="O34" s="742" t="s">
        <v>1905</v>
      </c>
      <c r="P34" s="742" t="s">
        <v>1886</v>
      </c>
      <c r="Q34" s="742" t="s">
        <v>1905</v>
      </c>
      <c r="R34" s="742" t="s">
        <v>1886</v>
      </c>
      <c r="S34" s="742"/>
      <c r="T34" s="751" t="s">
        <v>1906</v>
      </c>
      <c r="U34" s="645" t="s">
        <v>1906</v>
      </c>
      <c r="V34" s="645" t="s">
        <v>1906</v>
      </c>
      <c r="W34" s="645" t="s">
        <v>1907</v>
      </c>
      <c r="X34" s="642"/>
      <c r="Y34" s="784"/>
      <c r="Z34" s="645"/>
      <c r="AA34" s="648"/>
      <c r="AB34" s="645"/>
      <c r="AC34" s="645"/>
      <c r="AD34" s="645"/>
    </row>
    <row r="35" spans="1:30" ht="45" customHeight="1">
      <c r="A35" s="644"/>
      <c r="B35" s="688">
        <v>18</v>
      </c>
      <c r="C35" s="642" t="s">
        <v>1908</v>
      </c>
      <c r="D35" s="752"/>
      <c r="E35" s="642"/>
      <c r="F35" s="642"/>
      <c r="G35" s="680"/>
      <c r="H35" s="743"/>
      <c r="I35" s="788" t="str">
        <f t="shared" si="1"/>
        <v>2.7.2</v>
      </c>
      <c r="J35" s="7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788">
        <f t="shared" si="3"/>
        <v>0</v>
      </c>
      <c r="L35" s="643" t="str">
        <f t="shared" si="4"/>
        <v>2.7.2</v>
      </c>
      <c r="M35" s="64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643" t="str">
        <f t="shared" si="6"/>
        <v/>
      </c>
      <c r="O35" s="742" t="s">
        <v>1909</v>
      </c>
      <c r="P35" s="742" t="s">
        <v>1889</v>
      </c>
      <c r="Q35" s="742" t="s">
        <v>1909</v>
      </c>
      <c r="R35" s="742" t="s">
        <v>1889</v>
      </c>
      <c r="S35" s="742"/>
      <c r="T35" s="749" t="s">
        <v>1910</v>
      </c>
      <c r="U35" s="645" t="s">
        <v>1910</v>
      </c>
      <c r="V35" s="645" t="s">
        <v>1910</v>
      </c>
      <c r="W35" s="645" t="s">
        <v>1910</v>
      </c>
      <c r="X35" s="642"/>
      <c r="Y35" s="784"/>
      <c r="Z35" s="645"/>
      <c r="AA35" s="648"/>
      <c r="AB35" s="645"/>
      <c r="AC35" s="645"/>
      <c r="AD35" s="645"/>
    </row>
    <row r="36" spans="1:30" ht="18" customHeight="1">
      <c r="A36" s="644"/>
      <c r="B36" s="688">
        <v>19</v>
      </c>
      <c r="C36" s="642">
        <v>11</v>
      </c>
      <c r="D36" s="752"/>
      <c r="E36" s="642"/>
      <c r="F36" s="642"/>
      <c r="G36" s="680"/>
      <c r="H36" s="743"/>
      <c r="I36" s="788" t="str">
        <f t="shared" si="1"/>
        <v>2.8</v>
      </c>
      <c r="J36" s="788" t="str">
        <f t="shared" si="2"/>
        <v>Расходы на амортизацию основных средств и нематериальных активов</v>
      </c>
      <c r="K36" s="788">
        <f t="shared" si="3"/>
        <v>0</v>
      </c>
      <c r="L36" s="643" t="str">
        <f t="shared" si="4"/>
        <v>2.8</v>
      </c>
      <c r="M36" s="643" t="str">
        <f t="shared" si="5"/>
        <v>Расходы на амортизацию основных средств и нематериальных активов</v>
      </c>
      <c r="N36" s="643" t="str">
        <f t="shared" si="6"/>
        <v/>
      </c>
      <c r="O36" s="742" t="s">
        <v>574</v>
      </c>
      <c r="P36" s="742" t="s">
        <v>570</v>
      </c>
      <c r="Q36" s="742" t="s">
        <v>574</v>
      </c>
      <c r="R36" s="742" t="s">
        <v>570</v>
      </c>
      <c r="S36" s="742"/>
      <c r="T36" s="749" t="s">
        <v>1911</v>
      </c>
      <c r="U36" s="645" t="s">
        <v>1911</v>
      </c>
      <c r="V36" s="645" t="s">
        <v>1911</v>
      </c>
      <c r="W36" s="645" t="s">
        <v>1911</v>
      </c>
      <c r="X36" s="642"/>
      <c r="Y36" s="784"/>
      <c r="Z36" s="645"/>
      <c r="AA36" s="648"/>
      <c r="AB36" s="645"/>
      <c r="AC36" s="645"/>
      <c r="AD36" s="645"/>
    </row>
    <row r="37" spans="1:30" ht="18" customHeight="1">
      <c r="A37" s="644"/>
      <c r="B37" s="688">
        <v>20</v>
      </c>
      <c r="C37" s="642" t="s">
        <v>1912</v>
      </c>
      <c r="D37" s="752"/>
      <c r="E37" s="642"/>
      <c r="F37" s="642"/>
      <c r="G37" s="680"/>
      <c r="H37" s="743"/>
      <c r="I37" s="788" t="str">
        <f t="shared" si="1"/>
        <v>2.8.1</v>
      </c>
      <c r="J37" s="788" t="str">
        <f t="shared" si="2"/>
        <v>Расходы на амортизацию основных средств</v>
      </c>
      <c r="K37" s="788">
        <f t="shared" si="3"/>
        <v>0</v>
      </c>
      <c r="L37" s="643" t="str">
        <f t="shared" si="4"/>
        <v>2.8.1</v>
      </c>
      <c r="M37" s="643" t="str">
        <f t="shared" si="5"/>
        <v>Расходы на амортизацию основных средств</v>
      </c>
      <c r="N37" s="643" t="str">
        <f t="shared" si="6"/>
        <v/>
      </c>
      <c r="O37" s="742" t="s">
        <v>1913</v>
      </c>
      <c r="P37" s="742" t="s">
        <v>1896</v>
      </c>
      <c r="Q37" s="742" t="s">
        <v>1913</v>
      </c>
      <c r="R37" s="742" t="s">
        <v>1896</v>
      </c>
      <c r="S37" s="742"/>
      <c r="T37" s="749" t="s">
        <v>1914</v>
      </c>
      <c r="U37" s="645" t="s">
        <v>1914</v>
      </c>
      <c r="V37" s="645" t="s">
        <v>1914</v>
      </c>
      <c r="W37" s="645" t="s">
        <v>1914</v>
      </c>
      <c r="X37" s="642"/>
      <c r="Y37" s="784"/>
      <c r="Z37" s="645"/>
      <c r="AA37" s="648"/>
      <c r="AB37" s="645"/>
      <c r="AC37" s="645"/>
      <c r="AD37" s="645"/>
    </row>
    <row r="38" spans="1:30" ht="18" customHeight="1">
      <c r="A38" s="644"/>
      <c r="B38" s="688">
        <v>21</v>
      </c>
      <c r="C38" s="642" t="s">
        <v>1915</v>
      </c>
      <c r="D38" s="752"/>
      <c r="E38" s="642"/>
      <c r="F38" s="642"/>
      <c r="G38" s="680"/>
      <c r="H38" s="743"/>
      <c r="I38" s="788" t="str">
        <f t="shared" si="1"/>
        <v>2.8.2</v>
      </c>
      <c r="J38" s="788" t="str">
        <f t="shared" si="2"/>
        <v>Расходы на амортизацию нематериальных активов</v>
      </c>
      <c r="K38" s="788">
        <f t="shared" si="3"/>
        <v>0</v>
      </c>
      <c r="L38" s="643" t="str">
        <f t="shared" si="4"/>
        <v>2.8.2</v>
      </c>
      <c r="M38" s="643" t="str">
        <f t="shared" si="5"/>
        <v>Расходы на амортизацию нематериальных активов</v>
      </c>
      <c r="N38" s="643" t="str">
        <f t="shared" si="6"/>
        <v/>
      </c>
      <c r="O38" s="742" t="s">
        <v>1916</v>
      </c>
      <c r="P38" s="742" t="s">
        <v>1899</v>
      </c>
      <c r="Q38" s="742" t="s">
        <v>1916</v>
      </c>
      <c r="R38" s="742" t="s">
        <v>1899</v>
      </c>
      <c r="S38" s="742"/>
      <c r="T38" s="749" t="s">
        <v>1917</v>
      </c>
      <c r="U38" s="645" t="s">
        <v>1917</v>
      </c>
      <c r="V38" s="645" t="s">
        <v>1917</v>
      </c>
      <c r="W38" s="645" t="s">
        <v>1917</v>
      </c>
      <c r="X38" s="642"/>
      <c r="Y38" s="784"/>
      <c r="Z38" s="645"/>
      <c r="AA38" s="648"/>
      <c r="AB38" s="645"/>
      <c r="AC38" s="645"/>
      <c r="AD38" s="645"/>
    </row>
    <row r="39" spans="1:30" ht="36" customHeight="1">
      <c r="A39" s="644"/>
      <c r="B39" s="688">
        <v>22</v>
      </c>
      <c r="C39" s="642">
        <v>12</v>
      </c>
      <c r="D39" s="752"/>
      <c r="E39" s="642"/>
      <c r="F39" s="642"/>
      <c r="G39" s="680"/>
      <c r="H39" s="743"/>
      <c r="I39" s="788" t="str">
        <f t="shared" si="1"/>
        <v>2.9</v>
      </c>
      <c r="J39" s="788" t="str">
        <f t="shared" si="2"/>
        <v>Расходы на аренду имущества, используемого для осуществления регулируемого вида деятельности</v>
      </c>
      <c r="K39" s="788">
        <f t="shared" si="3"/>
        <v>0</v>
      </c>
      <c r="L39" s="643" t="str">
        <f t="shared" si="4"/>
        <v>2.9</v>
      </c>
      <c r="M39" s="643" t="str">
        <f t="shared" si="5"/>
        <v>Расходы на аренду имущества, используемого для осуществления регулируемого вида деятельности</v>
      </c>
      <c r="N39" s="643" t="str">
        <f t="shared" si="6"/>
        <v/>
      </c>
      <c r="O39" s="742" t="s">
        <v>578</v>
      </c>
      <c r="P39" s="742" t="s">
        <v>572</v>
      </c>
      <c r="Q39" s="742" t="s">
        <v>578</v>
      </c>
      <c r="R39" s="742" t="s">
        <v>572</v>
      </c>
      <c r="S39" s="742"/>
      <c r="T39" s="749" t="s">
        <v>1918</v>
      </c>
      <c r="U39" s="645" t="s">
        <v>1919</v>
      </c>
      <c r="V39" s="645" t="s">
        <v>1920</v>
      </c>
      <c r="W39" s="645" t="s">
        <v>1921</v>
      </c>
      <c r="X39" s="642"/>
      <c r="Y39" s="784"/>
      <c r="Z39" s="645"/>
      <c r="AA39" s="648"/>
      <c r="AB39" s="645"/>
      <c r="AC39" s="645"/>
      <c r="AD39" s="645"/>
    </row>
    <row r="40" spans="1:30" ht="18" customHeight="1">
      <c r="A40" s="644"/>
      <c r="B40" s="688">
        <v>23</v>
      </c>
      <c r="C40" s="642">
        <v>13</v>
      </c>
      <c r="D40" s="752"/>
      <c r="E40" s="642"/>
      <c r="F40" s="642"/>
      <c r="G40" s="642"/>
      <c r="H40" s="683"/>
      <c r="I40" s="788" t="str">
        <f t="shared" si="1"/>
        <v>2.10</v>
      </c>
      <c r="J40" s="788" t="str">
        <f t="shared" si="2"/>
        <v>Общепроизводственные расходы, в том числе:</v>
      </c>
      <c r="K40" s="788" t="str">
        <f t="shared" si="3"/>
        <v>Указывается общая сумма общепроизводственных расходов.</v>
      </c>
      <c r="L40" s="643" t="str">
        <f t="shared" si="4"/>
        <v>2.10</v>
      </c>
      <c r="M40" s="643" t="str">
        <f t="shared" si="5"/>
        <v>Общепроизводственные расходы, в том числе:</v>
      </c>
      <c r="N40" s="643" t="str">
        <f t="shared" si="6"/>
        <v>Указывается общая сумма общепроизводственных расходов.</v>
      </c>
      <c r="O40" s="742" t="s">
        <v>1922</v>
      </c>
      <c r="P40" s="742" t="s">
        <v>574</v>
      </c>
      <c r="Q40" s="742" t="s">
        <v>1922</v>
      </c>
      <c r="R40" s="742" t="s">
        <v>574</v>
      </c>
      <c r="S40" s="742"/>
      <c r="T40" s="642" t="s">
        <v>1923</v>
      </c>
      <c r="U40" s="642" t="s">
        <v>1923</v>
      </c>
      <c r="V40" s="642" t="s">
        <v>1923</v>
      </c>
      <c r="W40" s="642" t="s">
        <v>1923</v>
      </c>
      <c r="X40" s="642"/>
      <c r="Y40" s="784"/>
      <c r="Z40" s="645" t="s">
        <v>1924</v>
      </c>
      <c r="AA40" s="648" t="s">
        <v>1924</v>
      </c>
      <c r="AB40" s="648" t="s">
        <v>1924</v>
      </c>
      <c r="AC40" s="648" t="s">
        <v>1924</v>
      </c>
      <c r="AD40" s="645"/>
    </row>
    <row r="41" spans="1:30" ht="27" customHeight="1">
      <c r="A41" s="644"/>
      <c r="B41" s="688">
        <v>24</v>
      </c>
      <c r="C41" s="642" t="s">
        <v>1925</v>
      </c>
      <c r="D41" s="752"/>
      <c r="E41" s="642"/>
      <c r="F41" s="642"/>
      <c r="G41" s="642"/>
      <c r="H41" s="680"/>
      <c r="I41" s="788" t="str">
        <f t="shared" si="1"/>
        <v>2.10.1</v>
      </c>
      <c r="J41" s="788" t="str">
        <f t="shared" si="2"/>
        <v>Расходы на текущий ремонт</v>
      </c>
      <c r="K41" s="788" t="str">
        <f t="shared" si="3"/>
        <v>Указываются расходы на текущий ремонт, отнесенные к общепроизводственным расходам.</v>
      </c>
      <c r="L41" s="643" t="str">
        <f t="shared" si="4"/>
        <v>2.10.1</v>
      </c>
      <c r="M41" s="643" t="str">
        <f t="shared" si="5"/>
        <v>Расходы на текущий ремонт</v>
      </c>
      <c r="N41" s="643" t="str">
        <f t="shared" si="6"/>
        <v>Указываются расходы на текущий ремонт, отнесенные к общепроизводственным расходам.</v>
      </c>
      <c r="O41" s="742" t="s">
        <v>1926</v>
      </c>
      <c r="P41" s="742" t="s">
        <v>1913</v>
      </c>
      <c r="Q41" s="742" t="s">
        <v>1926</v>
      </c>
      <c r="R41" s="742" t="s">
        <v>1913</v>
      </c>
      <c r="S41" s="742"/>
      <c r="T41" s="642" t="s">
        <v>1927</v>
      </c>
      <c r="U41" s="642" t="s">
        <v>1927</v>
      </c>
      <c r="V41" s="642" t="s">
        <v>1927</v>
      </c>
      <c r="W41" s="642" t="s">
        <v>1927</v>
      </c>
      <c r="X41" s="642"/>
      <c r="Y41" s="784"/>
      <c r="Z41" s="645" t="s">
        <v>1928</v>
      </c>
      <c r="AA41" s="645" t="s">
        <v>1928</v>
      </c>
      <c r="AB41" s="645" t="s">
        <v>1928</v>
      </c>
      <c r="AC41" s="645" t="s">
        <v>1928</v>
      </c>
      <c r="AD41" s="645"/>
    </row>
    <row r="42" spans="1:30" ht="27" customHeight="1">
      <c r="A42" s="644"/>
      <c r="B42" s="688">
        <v>25</v>
      </c>
      <c r="C42" s="642" t="s">
        <v>1929</v>
      </c>
      <c r="D42" s="752"/>
      <c r="E42" s="642"/>
      <c r="F42" s="642"/>
      <c r="G42" s="642"/>
      <c r="H42" s="680"/>
      <c r="I42" s="788" t="str">
        <f t="shared" si="1"/>
        <v>2.10.2</v>
      </c>
      <c r="J42" s="788" t="str">
        <f t="shared" si="2"/>
        <v>Расходы на капитальный ремонт</v>
      </c>
      <c r="K42" s="788" t="str">
        <f t="shared" si="3"/>
        <v>Указываются расходы на капитальный ремонт, отнесенные к общепроизводственным расходам.</v>
      </c>
      <c r="L42" s="643" t="str">
        <f t="shared" si="4"/>
        <v>2.10.2</v>
      </c>
      <c r="M42" s="643" t="str">
        <f t="shared" si="5"/>
        <v>Расходы на капитальный ремонт</v>
      </c>
      <c r="N42" s="643" t="str">
        <f t="shared" si="6"/>
        <v>Указываются расходы на капитальный ремонт, отнесенные к общепроизводственным расходам.</v>
      </c>
      <c r="O42" s="742" t="s">
        <v>1930</v>
      </c>
      <c r="P42" s="742" t="s">
        <v>1916</v>
      </c>
      <c r="Q42" s="742" t="s">
        <v>1930</v>
      </c>
      <c r="R42" s="742" t="s">
        <v>1916</v>
      </c>
      <c r="S42" s="742"/>
      <c r="T42" s="642" t="s">
        <v>1931</v>
      </c>
      <c r="U42" s="642" t="s">
        <v>1931</v>
      </c>
      <c r="V42" s="642" t="s">
        <v>1931</v>
      </c>
      <c r="W42" s="642" t="s">
        <v>1931</v>
      </c>
      <c r="X42" s="642"/>
      <c r="Y42" s="784"/>
      <c r="Z42" s="645" t="s">
        <v>1932</v>
      </c>
      <c r="AA42" s="645" t="s">
        <v>1932</v>
      </c>
      <c r="AB42" s="645" t="s">
        <v>1932</v>
      </c>
      <c r="AC42" s="645" t="s">
        <v>1932</v>
      </c>
      <c r="AD42" s="645"/>
    </row>
    <row r="43" spans="1:30" ht="18" customHeight="1">
      <c r="A43" s="644"/>
      <c r="B43" s="688">
        <v>26</v>
      </c>
      <c r="C43" s="642">
        <v>14</v>
      </c>
      <c r="D43" s="752"/>
      <c r="E43" s="642"/>
      <c r="F43" s="642"/>
      <c r="G43" s="642"/>
      <c r="H43" s="680"/>
      <c r="I43" s="788" t="str">
        <f t="shared" si="1"/>
        <v>2.11</v>
      </c>
      <c r="J43" s="788" t="str">
        <f t="shared" si="2"/>
        <v>Общехозяйственные расходы, в том числе:</v>
      </c>
      <c r="K43" s="788" t="str">
        <f t="shared" si="3"/>
        <v>Указывается общая сумма общехозяйственных расходов.</v>
      </c>
      <c r="L43" s="643" t="str">
        <f t="shared" si="4"/>
        <v>2.11</v>
      </c>
      <c r="M43" s="643" t="str">
        <f t="shared" si="5"/>
        <v>Общехозяйственные расходы, в том числе:</v>
      </c>
      <c r="N43" s="643" t="str">
        <f t="shared" si="6"/>
        <v>Указывается общая сумма общехозяйственных расходов.</v>
      </c>
      <c r="O43" s="742" t="s">
        <v>1933</v>
      </c>
      <c r="P43" s="742" t="s">
        <v>578</v>
      </c>
      <c r="Q43" s="742" t="s">
        <v>1933</v>
      </c>
      <c r="R43" s="742" t="s">
        <v>578</v>
      </c>
      <c r="S43" s="742"/>
      <c r="T43" s="642" t="s">
        <v>1934</v>
      </c>
      <c r="U43" s="642" t="s">
        <v>1934</v>
      </c>
      <c r="V43" s="642" t="s">
        <v>1934</v>
      </c>
      <c r="W43" s="642" t="s">
        <v>1934</v>
      </c>
      <c r="X43" s="642"/>
      <c r="Y43" s="784"/>
      <c r="Z43" s="645" t="s">
        <v>1935</v>
      </c>
      <c r="AA43" s="645" t="s">
        <v>1935</v>
      </c>
      <c r="AB43" s="645" t="s">
        <v>1935</v>
      </c>
      <c r="AC43" s="645" t="s">
        <v>1935</v>
      </c>
      <c r="AD43" s="645"/>
    </row>
    <row r="44" spans="1:30" ht="27" customHeight="1">
      <c r="A44" s="644"/>
      <c r="B44" s="688">
        <v>27</v>
      </c>
      <c r="C44" s="642" t="s">
        <v>1936</v>
      </c>
      <c r="D44" s="752"/>
      <c r="E44" s="642"/>
      <c r="F44" s="642"/>
      <c r="G44" s="642"/>
      <c r="H44" s="680"/>
      <c r="I44" s="788" t="str">
        <f t="shared" si="1"/>
        <v>2.11.1</v>
      </c>
      <c r="J44" s="788" t="str">
        <f t="shared" si="2"/>
        <v>Расходы на текущий ремонт</v>
      </c>
      <c r="K44" s="788" t="str">
        <f t="shared" si="3"/>
        <v>Указываются расходы на текущий ремонт, отнесенные к общехозяйственным расходам.</v>
      </c>
      <c r="L44" s="643" t="str">
        <f t="shared" si="4"/>
        <v>2.11.1</v>
      </c>
      <c r="M44" s="643" t="str">
        <f t="shared" si="5"/>
        <v>Расходы на текущий ремонт</v>
      </c>
      <c r="N44" s="643" t="str">
        <f t="shared" si="6"/>
        <v>Указываются расходы на текущий ремонт, отнесенные к общехозяйственным расходам.</v>
      </c>
      <c r="O44" s="742" t="s">
        <v>1937</v>
      </c>
      <c r="P44" s="742" t="s">
        <v>1938</v>
      </c>
      <c r="Q44" s="742" t="s">
        <v>1937</v>
      </c>
      <c r="R44" s="742" t="s">
        <v>1938</v>
      </c>
      <c r="S44" s="742"/>
      <c r="T44" s="642" t="s">
        <v>1927</v>
      </c>
      <c r="U44" s="642" t="s">
        <v>1927</v>
      </c>
      <c r="V44" s="642" t="s">
        <v>1927</v>
      </c>
      <c r="W44" s="642" t="s">
        <v>1927</v>
      </c>
      <c r="X44" s="642"/>
      <c r="Y44" s="784"/>
      <c r="Z44" s="645" t="s">
        <v>1939</v>
      </c>
      <c r="AA44" s="645" t="s">
        <v>1939</v>
      </c>
      <c r="AB44" s="645" t="s">
        <v>1939</v>
      </c>
      <c r="AC44" s="645" t="s">
        <v>1939</v>
      </c>
      <c r="AD44" s="645"/>
    </row>
    <row r="45" spans="1:30" ht="27" customHeight="1">
      <c r="A45" s="644"/>
      <c r="B45" s="688">
        <v>28</v>
      </c>
      <c r="C45" s="642" t="s">
        <v>1940</v>
      </c>
      <c r="D45" s="752"/>
      <c r="E45" s="642"/>
      <c r="F45" s="642"/>
      <c r="G45" s="642"/>
      <c r="H45" s="680"/>
      <c r="I45" s="788" t="str">
        <f t="shared" si="1"/>
        <v>2.11.2</v>
      </c>
      <c r="J45" s="788" t="str">
        <f t="shared" si="2"/>
        <v>Расходы на капитальный ремонт</v>
      </c>
      <c r="K45" s="788" t="str">
        <f t="shared" si="3"/>
        <v>Указываются расходы на капитальный ремонт, отнесенные к общехозяйственным расходам.</v>
      </c>
      <c r="L45" s="643" t="str">
        <f t="shared" si="4"/>
        <v>2.11.2</v>
      </c>
      <c r="M45" s="643" t="str">
        <f t="shared" si="5"/>
        <v>Расходы на капитальный ремонт</v>
      </c>
      <c r="N45" s="643" t="str">
        <f t="shared" si="6"/>
        <v>Указываются расходы на капитальный ремонт, отнесенные к общехозяйственным расходам.</v>
      </c>
      <c r="O45" s="742" t="s">
        <v>1941</v>
      </c>
      <c r="P45" s="742" t="s">
        <v>1942</v>
      </c>
      <c r="Q45" s="742" t="s">
        <v>1941</v>
      </c>
      <c r="R45" s="742" t="s">
        <v>1942</v>
      </c>
      <c r="S45" s="742"/>
      <c r="T45" s="642" t="s">
        <v>1931</v>
      </c>
      <c r="U45" s="642" t="s">
        <v>1931</v>
      </c>
      <c r="V45" s="642" t="s">
        <v>1931</v>
      </c>
      <c r="W45" s="642" t="s">
        <v>1931</v>
      </c>
      <c r="X45" s="642"/>
      <c r="Y45" s="784"/>
      <c r="Z45" s="645" t="s">
        <v>1943</v>
      </c>
      <c r="AA45" s="645" t="s">
        <v>1943</v>
      </c>
      <c r="AB45" s="645" t="s">
        <v>1943</v>
      </c>
      <c r="AC45" s="645" t="s">
        <v>1943</v>
      </c>
      <c r="AD45" s="645"/>
    </row>
    <row r="46" spans="1:30" ht="54" customHeight="1">
      <c r="A46" s="644"/>
      <c r="B46" s="688">
        <v>29</v>
      </c>
      <c r="C46" s="642">
        <v>15</v>
      </c>
      <c r="D46" s="752"/>
      <c r="E46" s="642"/>
      <c r="F46" s="642"/>
      <c r="G46" s="642"/>
      <c r="H46" s="680"/>
      <c r="I46" s="788" t="str">
        <f t="shared" si="1"/>
        <v>2.12</v>
      </c>
      <c r="J46" s="788" t="str">
        <f t="shared" si="2"/>
        <v>Расходы на капитальный и текущий ремонт основных средств</v>
      </c>
      <c r="K46" s="78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643" t="str">
        <f t="shared" si="4"/>
        <v>2.12</v>
      </c>
      <c r="M46" s="643" t="str">
        <f t="shared" si="5"/>
        <v>Расходы на капитальный и текущий ремонт основных средств</v>
      </c>
      <c r="N46" s="64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742" t="s">
        <v>1944</v>
      </c>
      <c r="P46" s="742" t="s">
        <v>1922</v>
      </c>
      <c r="Q46" s="742" t="s">
        <v>1944</v>
      </c>
      <c r="R46" s="742" t="s">
        <v>1922</v>
      </c>
      <c r="S46" s="742"/>
      <c r="T46" s="642" t="s">
        <v>1945</v>
      </c>
      <c r="U46" s="642" t="s">
        <v>1945</v>
      </c>
      <c r="V46" s="642" t="s">
        <v>1945</v>
      </c>
      <c r="W46" s="642" t="s">
        <v>1945</v>
      </c>
      <c r="X46" s="642"/>
      <c r="Y46" s="784"/>
      <c r="Z46" s="645" t="s">
        <v>1946</v>
      </c>
      <c r="AA46" s="645" t="s">
        <v>1947</v>
      </c>
      <c r="AB46" s="645" t="s">
        <v>1947</v>
      </c>
      <c r="AC46" s="645" t="s">
        <v>1947</v>
      </c>
      <c r="AD46" s="645"/>
    </row>
    <row r="47" spans="1:30" ht="54" customHeight="1">
      <c r="A47" s="644"/>
      <c r="B47" s="688">
        <v>30</v>
      </c>
      <c r="C47" s="642" t="s">
        <v>1948</v>
      </c>
      <c r="D47" s="752"/>
      <c r="E47" s="642"/>
      <c r="F47" s="642"/>
      <c r="G47" s="642"/>
      <c r="H47" s="680"/>
      <c r="I47" s="788" t="str">
        <f t="shared" si="1"/>
        <v>2.12.1</v>
      </c>
      <c r="J47" s="7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788">
        <f t="shared" si="3"/>
        <v>0</v>
      </c>
      <c r="L47" s="643" t="str">
        <f t="shared" si="4"/>
        <v>2.12.1</v>
      </c>
      <c r="M47" s="64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643" t="str">
        <f t="shared" si="6"/>
        <v/>
      </c>
      <c r="O47" s="742" t="s">
        <v>1949</v>
      </c>
      <c r="P47" s="742" t="s">
        <v>1926</v>
      </c>
      <c r="Q47" s="742" t="s">
        <v>1949</v>
      </c>
      <c r="R47" s="742" t="s">
        <v>1926</v>
      </c>
      <c r="S47" s="742"/>
      <c r="T47" s="642" t="s">
        <v>1950</v>
      </c>
      <c r="U47" s="642" t="s">
        <v>1950</v>
      </c>
      <c r="V47" s="642" t="s">
        <v>1950</v>
      </c>
      <c r="W47" s="642" t="s">
        <v>1950</v>
      </c>
      <c r="X47" s="642"/>
      <c r="Y47" s="784"/>
      <c r="Z47" s="645"/>
      <c r="AA47" s="648"/>
      <c r="AB47" s="648"/>
      <c r="AC47" s="648"/>
      <c r="AD47" s="645"/>
    </row>
    <row r="48" spans="1:30" ht="54" customHeight="1">
      <c r="A48" s="644"/>
      <c r="B48" s="688">
        <v>31</v>
      </c>
      <c r="C48" s="642">
        <v>16</v>
      </c>
      <c r="D48" s="752"/>
      <c r="E48" s="642"/>
      <c r="F48" s="642"/>
      <c r="G48" s="642"/>
      <c r="H48" s="680"/>
      <c r="I48" s="788">
        <f t="shared" si="1"/>
        <v>0</v>
      </c>
      <c r="J48" s="788">
        <f t="shared" si="2"/>
        <v>0</v>
      </c>
      <c r="K48" s="788">
        <f t="shared" si="3"/>
        <v>0</v>
      </c>
      <c r="L48" s="643" t="str">
        <f t="shared" si="4"/>
        <v/>
      </c>
      <c r="M48" s="643" t="str">
        <f t="shared" si="5"/>
        <v/>
      </c>
      <c r="N48" s="643" t="str">
        <f t="shared" si="6"/>
        <v/>
      </c>
      <c r="O48" s="742"/>
      <c r="P48" s="742" t="s">
        <v>1933</v>
      </c>
      <c r="Q48" s="742" t="s">
        <v>1951</v>
      </c>
      <c r="R48" s="742" t="s">
        <v>1933</v>
      </c>
      <c r="S48" s="742"/>
      <c r="T48" s="642"/>
      <c r="U48" s="642" t="s">
        <v>1952</v>
      </c>
      <c r="V48" s="642" t="s">
        <v>1953</v>
      </c>
      <c r="W48" s="642" t="s">
        <v>1953</v>
      </c>
      <c r="X48" s="642"/>
      <c r="Y48" s="784"/>
      <c r="Z48" s="645"/>
      <c r="AA48" s="648" t="s">
        <v>1947</v>
      </c>
      <c r="AB48" s="648" t="s">
        <v>1947</v>
      </c>
      <c r="AC48" s="648" t="s">
        <v>1947</v>
      </c>
      <c r="AD48" s="645"/>
    </row>
    <row r="49" spans="1:30" ht="54" customHeight="1">
      <c r="A49" s="644"/>
      <c r="B49" s="688">
        <v>32</v>
      </c>
      <c r="C49" s="642" t="s">
        <v>1954</v>
      </c>
      <c r="D49" s="752"/>
      <c r="E49" s="642"/>
      <c r="F49" s="642"/>
      <c r="G49" s="642"/>
      <c r="H49" s="680"/>
      <c r="I49" s="788">
        <f t="shared" si="1"/>
        <v>0</v>
      </c>
      <c r="J49" s="788">
        <f t="shared" si="2"/>
        <v>0</v>
      </c>
      <c r="K49" s="788">
        <f t="shared" si="3"/>
        <v>0</v>
      </c>
      <c r="L49" s="643" t="str">
        <f t="shared" si="4"/>
        <v/>
      </c>
      <c r="M49" s="643" t="str">
        <f t="shared" si="5"/>
        <v/>
      </c>
      <c r="N49" s="643" t="str">
        <f t="shared" si="6"/>
        <v/>
      </c>
      <c r="O49" s="742"/>
      <c r="P49" s="742" t="s">
        <v>1937</v>
      </c>
      <c r="Q49" s="742" t="s">
        <v>1955</v>
      </c>
      <c r="R49" s="742" t="s">
        <v>1937</v>
      </c>
      <c r="S49" s="742"/>
      <c r="T49" s="642"/>
      <c r="U49" s="642" t="s">
        <v>1950</v>
      </c>
      <c r="V49" s="642" t="s">
        <v>1950</v>
      </c>
      <c r="W49" s="642" t="s">
        <v>1950</v>
      </c>
      <c r="X49" s="642"/>
      <c r="Y49" s="784"/>
      <c r="Z49" s="645"/>
      <c r="AA49" s="648"/>
      <c r="AB49" s="648"/>
      <c r="AC49" s="648"/>
      <c r="AD49" s="645"/>
    </row>
    <row r="50" spans="1:30" ht="126" customHeight="1">
      <c r="A50" s="644"/>
      <c r="B50" s="688">
        <v>33</v>
      </c>
      <c r="C50" s="642">
        <v>17</v>
      </c>
      <c r="D50" s="752"/>
      <c r="E50" s="642"/>
      <c r="F50" s="642"/>
      <c r="G50" s="642"/>
      <c r="H50" s="680"/>
      <c r="I50" s="788" t="str">
        <f t="shared" ref="I50:I81" si="7">INDEX(TEMPLATE_NUMBER_POINT_FHD,B50,MATCH(TEMPLATE_SPHERE,TEMPLATE_SPHERE_LIST_FOR_NOTE,0))</f>
        <v>2.13</v>
      </c>
      <c r="J50" s="78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7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643" t="str">
        <f t="shared" ref="L50:L81" si="10">IF(I50=0,"",I50)</f>
        <v>2.13</v>
      </c>
      <c r="M50" s="64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64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742" t="s">
        <v>1951</v>
      </c>
      <c r="P50" s="742" t="s">
        <v>1944</v>
      </c>
      <c r="Q50" s="742" t="s">
        <v>1956</v>
      </c>
      <c r="R50" s="742" t="s">
        <v>1944</v>
      </c>
      <c r="S50" s="742"/>
      <c r="T50" s="642" t="s">
        <v>1957</v>
      </c>
      <c r="U50" s="642" t="s">
        <v>1958</v>
      </c>
      <c r="V50" s="642" t="s">
        <v>1959</v>
      </c>
      <c r="W50" s="642" t="s">
        <v>1960</v>
      </c>
      <c r="X50" s="642"/>
      <c r="Y50" s="784"/>
      <c r="Z50" s="645" t="s">
        <v>1961</v>
      </c>
      <c r="AA50" s="648" t="s">
        <v>1962</v>
      </c>
      <c r="AB50" s="648" t="s">
        <v>1962</v>
      </c>
      <c r="AC50" s="648" t="s">
        <v>1962</v>
      </c>
      <c r="AD50" s="645"/>
    </row>
    <row r="51" spans="1:30" ht="27" customHeight="1">
      <c r="A51" s="644"/>
      <c r="B51" s="688">
        <v>34</v>
      </c>
      <c r="C51" s="642" t="s">
        <v>1963</v>
      </c>
      <c r="D51" s="752"/>
      <c r="E51" s="642"/>
      <c r="F51" s="642"/>
      <c r="G51" s="642"/>
      <c r="H51" s="680"/>
      <c r="I51" s="788" t="str">
        <f t="shared" si="7"/>
        <v>3</v>
      </c>
      <c r="J51" s="788" t="str">
        <f t="shared" si="8"/>
        <v>Валовая прибыль (убытки) от реализации товаров и оказания услуг по регулируемому виду деятельности</v>
      </c>
      <c r="K51" s="788">
        <f t="shared" si="9"/>
        <v>0</v>
      </c>
      <c r="L51" s="643" t="str">
        <f t="shared" si="10"/>
        <v>3</v>
      </c>
      <c r="M51" s="643" t="str">
        <f t="shared" si="11"/>
        <v>Валовая прибыль (убытки) от реализации товаров и оказания услуг по регулируемому виду деятельности</v>
      </c>
      <c r="N51" s="643" t="str">
        <f t="shared" si="12"/>
        <v/>
      </c>
      <c r="O51" s="742" t="s">
        <v>24</v>
      </c>
      <c r="P51" s="742"/>
      <c r="Q51" s="742"/>
      <c r="R51" s="742"/>
      <c r="S51" s="742"/>
      <c r="T51" s="642" t="s">
        <v>1964</v>
      </c>
      <c r="U51" s="642"/>
      <c r="V51" s="642"/>
      <c r="W51" s="642"/>
      <c r="X51" s="642"/>
      <c r="Y51" s="784"/>
      <c r="Z51" s="645"/>
      <c r="AA51" s="648"/>
      <c r="AB51" s="648"/>
      <c r="AC51" s="648"/>
      <c r="AD51" s="645"/>
    </row>
    <row r="52" spans="1:30" ht="36" customHeight="1">
      <c r="A52" s="644"/>
      <c r="B52" s="688">
        <v>35</v>
      </c>
      <c r="C52" s="642" t="s">
        <v>1856</v>
      </c>
      <c r="D52" s="752" t="s">
        <v>1856</v>
      </c>
      <c r="E52" s="642" t="s">
        <v>1856</v>
      </c>
      <c r="F52" s="642" t="s">
        <v>1856</v>
      </c>
      <c r="G52" s="642"/>
      <c r="H52" s="680"/>
      <c r="I52" s="788" t="str">
        <f t="shared" si="7"/>
        <v>4</v>
      </c>
      <c r="J52" s="788" t="str">
        <f t="shared" si="8"/>
        <v>Чистая прибыль, полученная от регулируемого вида деятельности, в том числе:</v>
      </c>
      <c r="K52" s="788" t="str">
        <f t="shared" si="9"/>
        <v>Указывается общая сумма чистой прибыли, полученной от регулируемого вида деятельности.</v>
      </c>
      <c r="L52" s="643" t="str">
        <f t="shared" si="10"/>
        <v>4</v>
      </c>
      <c r="M52" s="643" t="str">
        <f t="shared" si="11"/>
        <v>Чистая прибыль, полученная от регулируемого вида деятельности, в том числе:</v>
      </c>
      <c r="N52" s="643" t="str">
        <f t="shared" si="12"/>
        <v>Указывается общая сумма чистой прибыли, полученной от регулируемого вида деятельности.</v>
      </c>
      <c r="O52" s="742" t="s">
        <v>25</v>
      </c>
      <c r="P52" s="742" t="s">
        <v>24</v>
      </c>
      <c r="Q52" s="742" t="s">
        <v>24</v>
      </c>
      <c r="R52" s="742" t="s">
        <v>24</v>
      </c>
      <c r="S52" s="742"/>
      <c r="T52" s="642" t="s">
        <v>1965</v>
      </c>
      <c r="U52" s="642" t="s">
        <v>1966</v>
      </c>
      <c r="V52" s="642" t="s">
        <v>1967</v>
      </c>
      <c r="W52" s="642" t="s">
        <v>1968</v>
      </c>
      <c r="X52" s="642"/>
      <c r="Y52" s="784"/>
      <c r="Z52" s="645" t="s">
        <v>582</v>
      </c>
      <c r="AA52" s="648" t="s">
        <v>582</v>
      </c>
      <c r="AB52" s="648" t="s">
        <v>582</v>
      </c>
      <c r="AC52" s="648" t="s">
        <v>582</v>
      </c>
      <c r="AD52" s="645"/>
    </row>
    <row r="53" spans="1:30" ht="36" customHeight="1">
      <c r="A53" s="644"/>
      <c r="B53" s="688">
        <v>36</v>
      </c>
      <c r="C53" s="642">
        <v>1</v>
      </c>
      <c r="D53" s="752"/>
      <c r="E53" s="642"/>
      <c r="F53" s="642"/>
      <c r="G53" s="642"/>
      <c r="H53" s="680"/>
      <c r="I53" s="788" t="str">
        <f t="shared" si="7"/>
        <v>4.1</v>
      </c>
      <c r="J53" s="7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788">
        <f t="shared" si="9"/>
        <v>0</v>
      </c>
      <c r="L53" s="643" t="str">
        <f t="shared" si="10"/>
        <v>4.1</v>
      </c>
      <c r="M53" s="64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643" t="str">
        <f t="shared" si="12"/>
        <v/>
      </c>
      <c r="O53" s="742" t="s">
        <v>586</v>
      </c>
      <c r="P53" s="742" t="s">
        <v>250</v>
      </c>
      <c r="Q53" s="742" t="s">
        <v>250</v>
      </c>
      <c r="R53" s="742" t="s">
        <v>250</v>
      </c>
      <c r="S53" s="742"/>
      <c r="T53" s="642" t="s">
        <v>1969</v>
      </c>
      <c r="U53" s="642" t="s">
        <v>1969</v>
      </c>
      <c r="V53" s="642" t="s">
        <v>1969</v>
      </c>
      <c r="W53" s="642" t="s">
        <v>1969</v>
      </c>
      <c r="X53" s="642"/>
      <c r="Y53" s="784"/>
      <c r="Z53" s="645"/>
      <c r="AA53" s="648"/>
      <c r="AB53" s="645"/>
      <c r="AC53" s="645"/>
      <c r="AD53" s="645"/>
    </row>
    <row r="54" spans="1:30" ht="18" customHeight="1">
      <c r="A54" s="644"/>
      <c r="B54" s="688">
        <v>37</v>
      </c>
      <c r="C54" s="642" t="s">
        <v>1862</v>
      </c>
      <c r="D54" s="752" t="s">
        <v>1862</v>
      </c>
      <c r="E54" s="642" t="s">
        <v>1862</v>
      </c>
      <c r="F54" s="642" t="s">
        <v>1862</v>
      </c>
      <c r="G54" s="642"/>
      <c r="H54" s="680"/>
      <c r="I54" s="788" t="str">
        <f t="shared" si="7"/>
        <v>5</v>
      </c>
      <c r="J54" s="788" t="str">
        <f t="shared" si="8"/>
        <v>Изменение стоимости основных фондов, в том числе:</v>
      </c>
      <c r="K54" s="788" t="str">
        <f t="shared" si="9"/>
        <v>Указывается общее изменение стоимости основных фондов.</v>
      </c>
      <c r="L54" s="643" t="str">
        <f t="shared" si="10"/>
        <v>5</v>
      </c>
      <c r="M54" s="643" t="str">
        <f t="shared" si="11"/>
        <v>Изменение стоимости основных фондов, в том числе:</v>
      </c>
      <c r="N54" s="643" t="str">
        <f t="shared" si="12"/>
        <v>Указывается общее изменение стоимости основных фондов.</v>
      </c>
      <c r="O54" s="742" t="s">
        <v>45</v>
      </c>
      <c r="P54" s="742" t="s">
        <v>25</v>
      </c>
      <c r="Q54" s="742" t="s">
        <v>25</v>
      </c>
      <c r="R54" s="742" t="s">
        <v>25</v>
      </c>
      <c r="S54" s="742"/>
      <c r="T54" s="642" t="s">
        <v>584</v>
      </c>
      <c r="U54" s="642" t="s">
        <v>584</v>
      </c>
      <c r="V54" s="642" t="s">
        <v>584</v>
      </c>
      <c r="W54" s="642" t="s">
        <v>584</v>
      </c>
      <c r="X54" s="642"/>
      <c r="Y54" s="784"/>
      <c r="Z54" s="645" t="s">
        <v>585</v>
      </c>
      <c r="AA54" s="645" t="s">
        <v>585</v>
      </c>
      <c r="AB54" s="645" t="s">
        <v>585</v>
      </c>
      <c r="AC54" s="645" t="s">
        <v>585</v>
      </c>
      <c r="AD54" s="645"/>
    </row>
    <row r="55" spans="1:30" ht="36" customHeight="1">
      <c r="A55" s="644"/>
      <c r="B55" s="688">
        <v>38</v>
      </c>
      <c r="C55" s="642">
        <v>1</v>
      </c>
      <c r="D55" s="752"/>
      <c r="E55" s="642"/>
      <c r="F55" s="642"/>
      <c r="G55" s="642"/>
      <c r="H55" s="680"/>
      <c r="I55" s="788" t="str">
        <f t="shared" si="7"/>
        <v>5.1</v>
      </c>
      <c r="J55" s="788" t="str">
        <f t="shared" si="8"/>
        <v>Изменение стоимости основных фондов за счет:</v>
      </c>
      <c r="K55" s="788" t="str">
        <f t="shared" si="9"/>
        <v>Указываются общее изменение стоимости основных фондов за счет их ввода в эксплуатацию и вывода из эксплуатации.</v>
      </c>
      <c r="L55" s="643" t="str">
        <f t="shared" si="10"/>
        <v>5.1</v>
      </c>
      <c r="M55" s="643" t="str">
        <f t="shared" si="11"/>
        <v>Изменение стоимости основных фондов за счет:</v>
      </c>
      <c r="N55" s="643" t="str">
        <f t="shared" si="12"/>
        <v>Указываются общее изменение стоимости основных фондов за счет их ввода в эксплуатацию и вывода из эксплуатации.</v>
      </c>
      <c r="O55" s="742" t="s">
        <v>239</v>
      </c>
      <c r="P55" s="742" t="s">
        <v>586</v>
      </c>
      <c r="Q55" s="742" t="s">
        <v>586</v>
      </c>
      <c r="R55" s="742" t="s">
        <v>586</v>
      </c>
      <c r="S55" s="742"/>
      <c r="T55" s="642" t="s">
        <v>1970</v>
      </c>
      <c r="U55" s="642" t="s">
        <v>1971</v>
      </c>
      <c r="V55" s="642" t="s">
        <v>1971</v>
      </c>
      <c r="W55" s="642" t="s">
        <v>1971</v>
      </c>
      <c r="X55" s="642"/>
      <c r="Y55" s="784"/>
      <c r="Z55" s="645" t="s">
        <v>1972</v>
      </c>
      <c r="AA55" s="645" t="s">
        <v>1972</v>
      </c>
      <c r="AB55" s="645" t="s">
        <v>1972</v>
      </c>
      <c r="AC55" s="645" t="s">
        <v>1972</v>
      </c>
      <c r="AD55" s="645"/>
    </row>
    <row r="56" spans="1:30" ht="27" customHeight="1">
      <c r="A56" s="644"/>
      <c r="B56" s="688">
        <v>39</v>
      </c>
      <c r="C56" s="642" t="s">
        <v>856</v>
      </c>
      <c r="D56" s="752"/>
      <c r="E56" s="642"/>
      <c r="F56" s="642"/>
      <c r="G56" s="642"/>
      <c r="H56" s="680"/>
      <c r="I56" s="788" t="str">
        <f t="shared" si="7"/>
        <v>5.1.1</v>
      </c>
      <c r="J56" s="788" t="str">
        <f t="shared" si="8"/>
        <v>Изменения стоимости основных фондов за счет их ввода в эксплуатацию</v>
      </c>
      <c r="K56" s="788" t="str">
        <f t="shared" si="9"/>
        <v>Указываются изменение стоимости основных фондов за счет их ввода в эксплуатацию.</v>
      </c>
      <c r="L56" s="643" t="str">
        <f t="shared" si="10"/>
        <v>5.1.1</v>
      </c>
      <c r="M56" s="643" t="str">
        <f t="shared" si="11"/>
        <v>Изменения стоимости основных фондов за счет их ввода в эксплуатацию</v>
      </c>
      <c r="N56" s="643" t="str">
        <f t="shared" si="12"/>
        <v>Указываются изменение стоимости основных фондов за счет их ввода в эксплуатацию.</v>
      </c>
      <c r="O56" s="742" t="s">
        <v>974</v>
      </c>
      <c r="P56" s="742" t="s">
        <v>589</v>
      </c>
      <c r="Q56" s="742" t="s">
        <v>589</v>
      </c>
      <c r="R56" s="742" t="s">
        <v>589</v>
      </c>
      <c r="S56" s="742"/>
      <c r="T56" s="642" t="s">
        <v>1973</v>
      </c>
      <c r="U56" s="642" t="s">
        <v>1974</v>
      </c>
      <c r="V56" s="642" t="s">
        <v>1974</v>
      </c>
      <c r="W56" s="642" t="s">
        <v>1974</v>
      </c>
      <c r="X56" s="642"/>
      <c r="Y56" s="784"/>
      <c r="Z56" s="645" t="s">
        <v>591</v>
      </c>
      <c r="AA56" s="645" t="s">
        <v>591</v>
      </c>
      <c r="AB56" s="645" t="s">
        <v>591</v>
      </c>
      <c r="AC56" s="645" t="s">
        <v>591</v>
      </c>
      <c r="AD56" s="645"/>
    </row>
    <row r="57" spans="1:30" ht="27" customHeight="1">
      <c r="A57" s="644"/>
      <c r="B57" s="688">
        <v>40</v>
      </c>
      <c r="C57" s="642" t="s">
        <v>858</v>
      </c>
      <c r="D57" s="752"/>
      <c r="E57" s="642"/>
      <c r="F57" s="642"/>
      <c r="G57" s="642"/>
      <c r="H57" s="680"/>
      <c r="I57" s="788" t="str">
        <f t="shared" si="7"/>
        <v>5.1.2</v>
      </c>
      <c r="J57" s="788" t="str">
        <f t="shared" si="8"/>
        <v>Изменения стоимости основных фондов за счет их вывода в эксплуатацию</v>
      </c>
      <c r="K57" s="788" t="str">
        <f t="shared" si="9"/>
        <v>Указываются изменение стоимости основных фондов за счет их вывода из эксплуатации.</v>
      </c>
      <c r="L57" s="643" t="str">
        <f t="shared" si="10"/>
        <v>5.1.2</v>
      </c>
      <c r="M57" s="643" t="str">
        <f t="shared" si="11"/>
        <v>Изменения стоимости основных фондов за счет их вывода в эксплуатацию</v>
      </c>
      <c r="N57" s="643" t="str">
        <f t="shared" si="12"/>
        <v>Указываются изменение стоимости основных фондов за счет их вывода из эксплуатации.</v>
      </c>
      <c r="O57" s="742" t="s">
        <v>1975</v>
      </c>
      <c r="P57" s="742" t="s">
        <v>592</v>
      </c>
      <c r="Q57" s="742" t="s">
        <v>592</v>
      </c>
      <c r="R57" s="742" t="s">
        <v>592</v>
      </c>
      <c r="S57" s="742"/>
      <c r="T57" s="642" t="s">
        <v>1976</v>
      </c>
      <c r="U57" s="642" t="s">
        <v>1977</v>
      </c>
      <c r="V57" s="642" t="s">
        <v>1977</v>
      </c>
      <c r="W57" s="642" t="s">
        <v>1977</v>
      </c>
      <c r="X57" s="642"/>
      <c r="Y57" s="784"/>
      <c r="Z57" s="645" t="s">
        <v>594</v>
      </c>
      <c r="AA57" s="645" t="s">
        <v>594</v>
      </c>
      <c r="AB57" s="645" t="s">
        <v>594</v>
      </c>
      <c r="AC57" s="645" t="s">
        <v>594</v>
      </c>
      <c r="AD57" s="645"/>
    </row>
    <row r="58" spans="1:30" ht="18" customHeight="1">
      <c r="A58" s="644"/>
      <c r="B58" s="688">
        <v>41</v>
      </c>
      <c r="C58" s="642">
        <v>2</v>
      </c>
      <c r="D58" s="752"/>
      <c r="E58" s="642"/>
      <c r="F58" s="642"/>
      <c r="G58" s="642"/>
      <c r="H58" s="680"/>
      <c r="I58" s="788" t="str">
        <f t="shared" si="7"/>
        <v>5.2</v>
      </c>
      <c r="J58" s="788" t="str">
        <f t="shared" si="8"/>
        <v>Изменение стоимости основных фондов за счет их переоценки</v>
      </c>
      <c r="K58" s="788">
        <f t="shared" si="9"/>
        <v>0</v>
      </c>
      <c r="L58" s="643" t="str">
        <f t="shared" si="10"/>
        <v>5.2</v>
      </c>
      <c r="M58" s="643" t="str">
        <f t="shared" si="11"/>
        <v>Изменение стоимости основных фондов за счет их переоценки</v>
      </c>
      <c r="N58" s="643" t="str">
        <f t="shared" si="12"/>
        <v/>
      </c>
      <c r="O58" s="742" t="s">
        <v>241</v>
      </c>
      <c r="P58" s="742" t="s">
        <v>629</v>
      </c>
      <c r="Q58" s="742" t="s">
        <v>629</v>
      </c>
      <c r="R58" s="742" t="s">
        <v>629</v>
      </c>
      <c r="S58" s="742"/>
      <c r="T58" s="642" t="s">
        <v>1978</v>
      </c>
      <c r="U58" s="642" t="s">
        <v>1978</v>
      </c>
      <c r="V58" s="642" t="s">
        <v>1978</v>
      </c>
      <c r="W58" s="642" t="s">
        <v>1978</v>
      </c>
      <c r="X58" s="642"/>
      <c r="Y58" s="784"/>
      <c r="Z58" s="645"/>
      <c r="AA58" s="648"/>
      <c r="AB58" s="645"/>
      <c r="AC58" s="645"/>
      <c r="AD58" s="645"/>
    </row>
    <row r="59" spans="1:30" ht="36" customHeight="1">
      <c r="A59" s="644"/>
      <c r="B59" s="688">
        <v>42</v>
      </c>
      <c r="C59" s="642">
        <v>3</v>
      </c>
      <c r="D59" s="752" t="s">
        <v>1963</v>
      </c>
      <c r="E59" s="642" t="s">
        <v>1963</v>
      </c>
      <c r="F59" s="642" t="s">
        <v>1963</v>
      </c>
      <c r="G59" s="642"/>
      <c r="H59" s="680"/>
      <c r="I59" s="788">
        <f t="shared" si="7"/>
        <v>0</v>
      </c>
      <c r="J59" s="788">
        <f t="shared" si="8"/>
        <v>0</v>
      </c>
      <c r="K59" s="788">
        <f t="shared" si="9"/>
        <v>0</v>
      </c>
      <c r="L59" s="643" t="str">
        <f t="shared" si="10"/>
        <v/>
      </c>
      <c r="M59" s="643" t="str">
        <f t="shared" si="11"/>
        <v/>
      </c>
      <c r="N59" s="643" t="str">
        <f t="shared" si="12"/>
        <v/>
      </c>
      <c r="O59" s="742"/>
      <c r="P59" s="742" t="s">
        <v>45</v>
      </c>
      <c r="Q59" s="742" t="s">
        <v>45</v>
      </c>
      <c r="R59" s="742" t="s">
        <v>45</v>
      </c>
      <c r="S59" s="742"/>
      <c r="T59" s="642"/>
      <c r="U59" s="642" t="s">
        <v>1979</v>
      </c>
      <c r="V59" s="642" t="s">
        <v>1980</v>
      </c>
      <c r="W59" s="642" t="s">
        <v>1981</v>
      </c>
      <c r="X59" s="642"/>
      <c r="Y59" s="784"/>
      <c r="Z59" s="645"/>
      <c r="AA59" s="648"/>
      <c r="AB59" s="645"/>
      <c r="AC59" s="645"/>
      <c r="AD59" s="645"/>
    </row>
    <row r="60" spans="1:30" ht="81" customHeight="1">
      <c r="A60" s="644"/>
      <c r="B60" s="688">
        <v>43</v>
      </c>
      <c r="C60" s="642" t="s">
        <v>1982</v>
      </c>
      <c r="D60" s="752" t="s">
        <v>1982</v>
      </c>
      <c r="E60" s="642" t="s">
        <v>1982</v>
      </c>
      <c r="F60" s="642" t="s">
        <v>1982</v>
      </c>
      <c r="G60" s="642"/>
      <c r="H60" s="680"/>
      <c r="I60" s="788" t="str">
        <f t="shared" si="7"/>
        <v>6</v>
      </c>
      <c r="J60" s="788" t="str">
        <f t="shared" si="8"/>
        <v>Годовая бухгалтерская (финансовая) отчетность, включая бухгалтерский баланс и приложения к нему</v>
      </c>
      <c r="K60" s="78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643" t="str">
        <f t="shared" si="10"/>
        <v>6</v>
      </c>
      <c r="M60" s="643" t="str">
        <f t="shared" si="11"/>
        <v>Годовая бухгалтерская (финансовая) отчетность, включая бухгалтерский баланс и приложения к нему</v>
      </c>
      <c r="N60" s="64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742" t="s">
        <v>26</v>
      </c>
      <c r="P60" s="742" t="s">
        <v>26</v>
      </c>
      <c r="Q60" s="742" t="s">
        <v>26</v>
      </c>
      <c r="R60" s="742" t="s">
        <v>26</v>
      </c>
      <c r="S60" s="742"/>
      <c r="T60" s="642" t="s">
        <v>598</v>
      </c>
      <c r="U60" s="642" t="s">
        <v>598</v>
      </c>
      <c r="V60" s="642" t="s">
        <v>598</v>
      </c>
      <c r="W60" s="642" t="s">
        <v>598</v>
      </c>
      <c r="X60" s="642"/>
      <c r="Y60" s="784"/>
      <c r="Z60" s="645" t="s">
        <v>1983</v>
      </c>
      <c r="AA60" s="648" t="s">
        <v>1984</v>
      </c>
      <c r="AB60" s="645" t="s">
        <v>1985</v>
      </c>
      <c r="AC60" s="645" t="s">
        <v>1984</v>
      </c>
      <c r="AD60" s="645"/>
    </row>
    <row r="61" spans="1:30" ht="9" customHeight="1">
      <c r="A61" s="644"/>
      <c r="B61" s="688">
        <v>44</v>
      </c>
      <c r="C61" s="642"/>
      <c r="D61" s="752" t="s">
        <v>1986</v>
      </c>
      <c r="E61" s="642"/>
      <c r="F61" s="642"/>
      <c r="G61" s="642"/>
      <c r="H61" s="680"/>
      <c r="I61" s="788">
        <f t="shared" si="7"/>
        <v>0</v>
      </c>
      <c r="J61" s="788">
        <f t="shared" si="8"/>
        <v>0</v>
      </c>
      <c r="K61" s="788">
        <f t="shared" si="9"/>
        <v>0</v>
      </c>
      <c r="L61" s="643" t="str">
        <f t="shared" si="10"/>
        <v/>
      </c>
      <c r="M61" s="643" t="str">
        <f t="shared" si="11"/>
        <v/>
      </c>
      <c r="N61" s="643" t="str">
        <f t="shared" si="12"/>
        <v/>
      </c>
      <c r="O61" s="742"/>
      <c r="P61" s="742" t="s">
        <v>27</v>
      </c>
      <c r="Q61" s="742"/>
      <c r="R61" s="742"/>
      <c r="S61" s="742"/>
      <c r="T61" s="642"/>
      <c r="U61" s="642" t="s">
        <v>1987</v>
      </c>
      <c r="V61" s="642"/>
      <c r="W61" s="642"/>
      <c r="X61" s="642"/>
      <c r="Y61" s="784"/>
      <c r="Z61" s="645"/>
      <c r="AA61" s="648"/>
      <c r="AB61" s="645"/>
      <c r="AC61" s="645"/>
      <c r="AD61" s="645"/>
    </row>
    <row r="62" spans="1:30" ht="9" customHeight="1">
      <c r="A62" s="644"/>
      <c r="B62" s="688">
        <v>45</v>
      </c>
      <c r="C62" s="642"/>
      <c r="D62" s="752" t="s">
        <v>1988</v>
      </c>
      <c r="E62" s="642"/>
      <c r="F62" s="642"/>
      <c r="G62" s="642"/>
      <c r="H62" s="680"/>
      <c r="I62" s="788">
        <f t="shared" si="7"/>
        <v>0</v>
      </c>
      <c r="J62" s="788">
        <f t="shared" si="8"/>
        <v>0</v>
      </c>
      <c r="K62" s="788">
        <f t="shared" si="9"/>
        <v>0</v>
      </c>
      <c r="L62" s="643" t="str">
        <f t="shared" si="10"/>
        <v/>
      </c>
      <c r="M62" s="643" t="str">
        <f t="shared" si="11"/>
        <v/>
      </c>
      <c r="N62" s="643" t="str">
        <f t="shared" si="12"/>
        <v/>
      </c>
      <c r="O62" s="742"/>
      <c r="P62" s="742" t="s">
        <v>46</v>
      </c>
      <c r="Q62" s="742"/>
      <c r="R62" s="742"/>
      <c r="S62" s="742"/>
      <c r="T62" s="642"/>
      <c r="U62" s="642" t="s">
        <v>1989</v>
      </c>
      <c r="V62" s="642"/>
      <c r="W62" s="642"/>
      <c r="X62" s="642"/>
      <c r="Y62" s="784"/>
      <c r="Z62" s="645"/>
      <c r="AA62" s="648"/>
      <c r="AB62" s="645"/>
      <c r="AC62" s="645"/>
      <c r="AD62" s="645"/>
    </row>
    <row r="63" spans="1:30" ht="18" customHeight="1">
      <c r="A63" s="644"/>
      <c r="B63" s="688">
        <v>46</v>
      </c>
      <c r="C63" s="642"/>
      <c r="D63" s="752" t="s">
        <v>1990</v>
      </c>
      <c r="E63" s="642"/>
      <c r="F63" s="642"/>
      <c r="G63" s="642"/>
      <c r="H63" s="680"/>
      <c r="I63" s="788">
        <f t="shared" si="7"/>
        <v>0</v>
      </c>
      <c r="J63" s="788">
        <f t="shared" si="8"/>
        <v>0</v>
      </c>
      <c r="K63" s="788">
        <f t="shared" si="9"/>
        <v>0</v>
      </c>
      <c r="L63" s="643" t="str">
        <f t="shared" si="10"/>
        <v/>
      </c>
      <c r="M63" s="643" t="str">
        <f t="shared" si="11"/>
        <v/>
      </c>
      <c r="N63" s="643" t="str">
        <f t="shared" si="12"/>
        <v/>
      </c>
      <c r="O63" s="742"/>
      <c r="P63" s="742" t="s">
        <v>86</v>
      </c>
      <c r="Q63" s="742"/>
      <c r="R63" s="742"/>
      <c r="S63" s="742"/>
      <c r="T63" s="642"/>
      <c r="U63" s="642" t="s">
        <v>1991</v>
      </c>
      <c r="V63" s="642"/>
      <c r="W63" s="642"/>
      <c r="X63" s="642"/>
      <c r="Y63" s="784"/>
      <c r="Z63" s="645"/>
      <c r="AA63" s="648"/>
      <c r="AB63" s="645"/>
      <c r="AC63" s="645"/>
      <c r="AD63" s="645"/>
    </row>
    <row r="64" spans="1:30" ht="18" customHeight="1">
      <c r="A64" s="644"/>
      <c r="B64" s="688">
        <v>47</v>
      </c>
      <c r="C64" s="642"/>
      <c r="D64" s="752" t="s">
        <v>1992</v>
      </c>
      <c r="E64" s="642"/>
      <c r="F64" s="642"/>
      <c r="G64" s="642"/>
      <c r="H64" s="680"/>
      <c r="I64" s="788">
        <f t="shared" si="7"/>
        <v>0</v>
      </c>
      <c r="J64" s="788">
        <f t="shared" si="8"/>
        <v>0</v>
      </c>
      <c r="K64" s="788">
        <f t="shared" si="9"/>
        <v>0</v>
      </c>
      <c r="L64" s="643" t="str">
        <f t="shared" si="10"/>
        <v/>
      </c>
      <c r="M64" s="643" t="str">
        <f t="shared" si="11"/>
        <v/>
      </c>
      <c r="N64" s="643" t="str">
        <f t="shared" si="12"/>
        <v/>
      </c>
      <c r="O64" s="742"/>
      <c r="P64" s="742" t="s">
        <v>87</v>
      </c>
      <c r="Q64" s="742"/>
      <c r="R64" s="742"/>
      <c r="S64" s="742"/>
      <c r="T64" s="642"/>
      <c r="U64" s="642" t="s">
        <v>1993</v>
      </c>
      <c r="V64" s="642"/>
      <c r="W64" s="642"/>
      <c r="X64" s="642"/>
      <c r="Y64" s="784"/>
      <c r="Z64" s="645"/>
      <c r="AA64" s="648" t="s">
        <v>1994</v>
      </c>
      <c r="AB64" s="645"/>
      <c r="AC64" s="645"/>
      <c r="AD64" s="645"/>
    </row>
    <row r="65" spans="1:30" ht="18" customHeight="1">
      <c r="A65" s="644"/>
      <c r="B65" s="688">
        <v>48</v>
      </c>
      <c r="C65" s="642"/>
      <c r="D65" s="752"/>
      <c r="E65" s="642"/>
      <c r="F65" s="642"/>
      <c r="G65" s="642"/>
      <c r="H65" s="680"/>
      <c r="I65" s="788">
        <f t="shared" si="7"/>
        <v>0</v>
      </c>
      <c r="J65" s="788">
        <f t="shared" si="8"/>
        <v>0</v>
      </c>
      <c r="K65" s="788">
        <f t="shared" si="9"/>
        <v>0</v>
      </c>
      <c r="L65" s="643" t="str">
        <f t="shared" si="10"/>
        <v/>
      </c>
      <c r="M65" s="643" t="str">
        <f t="shared" si="11"/>
        <v/>
      </c>
      <c r="N65" s="643" t="str">
        <f t="shared" si="12"/>
        <v/>
      </c>
      <c r="O65" s="742"/>
      <c r="P65" s="742" t="s">
        <v>1904</v>
      </c>
      <c r="Q65" s="742"/>
      <c r="R65" s="742"/>
      <c r="S65" s="742"/>
      <c r="T65" s="642"/>
      <c r="U65" s="642" t="s">
        <v>1995</v>
      </c>
      <c r="V65" s="642"/>
      <c r="W65" s="642"/>
      <c r="X65" s="642"/>
      <c r="Y65" s="784"/>
      <c r="Z65" s="645"/>
      <c r="AA65" s="648"/>
      <c r="AB65" s="645"/>
      <c r="AC65" s="645"/>
      <c r="AD65" s="645"/>
    </row>
    <row r="66" spans="1:30" ht="18" customHeight="1">
      <c r="A66" s="644"/>
      <c r="B66" s="688">
        <v>49</v>
      </c>
      <c r="C66" s="642"/>
      <c r="D66" s="752"/>
      <c r="E66" s="642"/>
      <c r="F66" s="642"/>
      <c r="G66" s="642"/>
      <c r="H66" s="680"/>
      <c r="I66" s="788">
        <f t="shared" si="7"/>
        <v>0</v>
      </c>
      <c r="J66" s="788">
        <f t="shared" si="8"/>
        <v>0</v>
      </c>
      <c r="K66" s="788">
        <f t="shared" si="9"/>
        <v>0</v>
      </c>
      <c r="L66" s="643" t="str">
        <f t="shared" si="10"/>
        <v/>
      </c>
      <c r="M66" s="643" t="str">
        <f t="shared" si="11"/>
        <v/>
      </c>
      <c r="N66" s="643" t="str">
        <f t="shared" si="12"/>
        <v/>
      </c>
      <c r="O66" s="742"/>
      <c r="P66" s="742" t="s">
        <v>1908</v>
      </c>
      <c r="Q66" s="742"/>
      <c r="R66" s="742"/>
      <c r="S66" s="742"/>
      <c r="T66" s="642"/>
      <c r="U66" s="642" t="s">
        <v>1996</v>
      </c>
      <c r="V66" s="642"/>
      <c r="W66" s="642"/>
      <c r="X66" s="642"/>
      <c r="Y66" s="784"/>
      <c r="Z66" s="645"/>
      <c r="AA66" s="648"/>
      <c r="AB66" s="645"/>
      <c r="AC66" s="645"/>
      <c r="AD66" s="645"/>
    </row>
    <row r="67" spans="1:30" ht="27" customHeight="1">
      <c r="A67" s="644"/>
      <c r="B67" s="688">
        <v>50</v>
      </c>
      <c r="C67" s="642"/>
      <c r="D67" s="752"/>
      <c r="E67" s="642"/>
      <c r="F67" s="642"/>
      <c r="G67" s="642"/>
      <c r="H67" s="680"/>
      <c r="I67" s="788">
        <f t="shared" si="7"/>
        <v>0</v>
      </c>
      <c r="J67" s="788">
        <f t="shared" si="8"/>
        <v>0</v>
      </c>
      <c r="K67" s="788">
        <f t="shared" si="9"/>
        <v>0</v>
      </c>
      <c r="L67" s="643" t="str">
        <f t="shared" si="10"/>
        <v/>
      </c>
      <c r="M67" s="643" t="str">
        <f t="shared" si="11"/>
        <v/>
      </c>
      <c r="N67" s="643" t="str">
        <f t="shared" si="12"/>
        <v/>
      </c>
      <c r="O67" s="742"/>
      <c r="P67" s="742" t="s">
        <v>1997</v>
      </c>
      <c r="Q67" s="742"/>
      <c r="R67" s="742"/>
      <c r="S67" s="742"/>
      <c r="T67" s="642"/>
      <c r="U67" s="642" t="s">
        <v>1998</v>
      </c>
      <c r="V67" s="642"/>
      <c r="W67" s="642"/>
      <c r="X67" s="642"/>
      <c r="Y67" s="784"/>
      <c r="Z67" s="645"/>
      <c r="AA67" s="648"/>
      <c r="AB67" s="645"/>
      <c r="AC67" s="645"/>
      <c r="AD67" s="645"/>
    </row>
    <row r="68" spans="1:30" ht="27" customHeight="1">
      <c r="A68" s="644"/>
      <c r="B68" s="688">
        <v>51</v>
      </c>
      <c r="C68" s="642"/>
      <c r="D68" s="752"/>
      <c r="E68" s="642"/>
      <c r="F68" s="642"/>
      <c r="G68" s="642"/>
      <c r="H68" s="680"/>
      <c r="I68" s="788">
        <f t="shared" si="7"/>
        <v>0</v>
      </c>
      <c r="J68" s="788">
        <f t="shared" si="8"/>
        <v>0</v>
      </c>
      <c r="K68" s="788">
        <f t="shared" si="9"/>
        <v>0</v>
      </c>
      <c r="L68" s="643" t="str">
        <f t="shared" si="10"/>
        <v/>
      </c>
      <c r="M68" s="643" t="str">
        <f t="shared" si="11"/>
        <v/>
      </c>
      <c r="N68" s="643" t="str">
        <f t="shared" si="12"/>
        <v/>
      </c>
      <c r="O68" s="742"/>
      <c r="P68" s="742" t="s">
        <v>1999</v>
      </c>
      <c r="Q68" s="742"/>
      <c r="R68" s="742"/>
      <c r="S68" s="742"/>
      <c r="T68" s="642"/>
      <c r="U68" s="642" t="s">
        <v>2000</v>
      </c>
      <c r="V68" s="642"/>
      <c r="W68" s="642"/>
      <c r="X68" s="642"/>
      <c r="Y68" s="784"/>
      <c r="Z68" s="645"/>
      <c r="AA68" s="648"/>
      <c r="AB68" s="645"/>
      <c r="AC68" s="645"/>
      <c r="AD68" s="645"/>
    </row>
    <row r="69" spans="1:30" ht="9" customHeight="1">
      <c r="A69" s="644"/>
      <c r="B69" s="688">
        <v>52</v>
      </c>
      <c r="C69" s="642"/>
      <c r="D69" s="752" t="s">
        <v>2001</v>
      </c>
      <c r="E69" s="642"/>
      <c r="F69" s="642"/>
      <c r="G69" s="642"/>
      <c r="H69" s="680"/>
      <c r="I69" s="788">
        <f t="shared" si="7"/>
        <v>0</v>
      </c>
      <c r="J69" s="788">
        <f t="shared" si="8"/>
        <v>0</v>
      </c>
      <c r="K69" s="788">
        <f t="shared" si="9"/>
        <v>0</v>
      </c>
      <c r="L69" s="643" t="str">
        <f t="shared" si="10"/>
        <v/>
      </c>
      <c r="M69" s="643" t="str">
        <f t="shared" si="11"/>
        <v/>
      </c>
      <c r="N69" s="643" t="str">
        <f t="shared" si="12"/>
        <v/>
      </c>
      <c r="O69" s="742"/>
      <c r="P69" s="742" t="s">
        <v>88</v>
      </c>
      <c r="Q69" s="742"/>
      <c r="R69" s="742"/>
      <c r="S69" s="742"/>
      <c r="T69" s="642"/>
      <c r="U69" s="642" t="s">
        <v>2002</v>
      </c>
      <c r="V69" s="642"/>
      <c r="W69" s="642"/>
      <c r="X69" s="642"/>
      <c r="Y69" s="784"/>
      <c r="Z69" s="645"/>
      <c r="AA69" s="648"/>
      <c r="AB69" s="645"/>
      <c r="AC69" s="645"/>
      <c r="AD69" s="645"/>
    </row>
    <row r="70" spans="1:30" ht="27" customHeight="1">
      <c r="A70" s="644"/>
      <c r="B70" s="688">
        <v>53</v>
      </c>
      <c r="C70" s="642"/>
      <c r="D70" s="752"/>
      <c r="E70" s="642" t="s">
        <v>1986</v>
      </c>
      <c r="F70" s="642"/>
      <c r="G70" s="642"/>
      <c r="H70" s="680"/>
      <c r="I70" s="788">
        <f t="shared" si="7"/>
        <v>0</v>
      </c>
      <c r="J70" s="788">
        <f t="shared" si="8"/>
        <v>0</v>
      </c>
      <c r="K70" s="788">
        <f t="shared" si="9"/>
        <v>0</v>
      </c>
      <c r="L70" s="643" t="str">
        <f t="shared" si="10"/>
        <v/>
      </c>
      <c r="M70" s="643" t="str">
        <f t="shared" si="11"/>
        <v/>
      </c>
      <c r="N70" s="643" t="str">
        <f t="shared" si="12"/>
        <v/>
      </c>
      <c r="O70" s="742"/>
      <c r="P70" s="742"/>
      <c r="Q70" s="742" t="s">
        <v>27</v>
      </c>
      <c r="R70" s="742"/>
      <c r="S70" s="742"/>
      <c r="T70" s="642"/>
      <c r="U70" s="642"/>
      <c r="V70" s="642" t="s">
        <v>2003</v>
      </c>
      <c r="W70" s="642"/>
      <c r="X70" s="642"/>
      <c r="Y70" s="784"/>
      <c r="Z70" s="645"/>
      <c r="AA70" s="648"/>
      <c r="AB70" s="645"/>
      <c r="AC70" s="645"/>
      <c r="AD70" s="645"/>
    </row>
    <row r="71" spans="1:30" ht="36" customHeight="1">
      <c r="A71" s="644"/>
      <c r="B71" s="688">
        <v>54</v>
      </c>
      <c r="C71" s="642"/>
      <c r="D71" s="752"/>
      <c r="E71" s="642" t="s">
        <v>1988</v>
      </c>
      <c r="F71" s="642"/>
      <c r="G71" s="642"/>
      <c r="H71" s="680"/>
      <c r="I71" s="788">
        <f t="shared" si="7"/>
        <v>0</v>
      </c>
      <c r="J71" s="788">
        <f t="shared" si="8"/>
        <v>0</v>
      </c>
      <c r="K71" s="788">
        <f t="shared" si="9"/>
        <v>0</v>
      </c>
      <c r="L71" s="643" t="str">
        <f t="shared" si="10"/>
        <v/>
      </c>
      <c r="M71" s="643" t="str">
        <f t="shared" si="11"/>
        <v/>
      </c>
      <c r="N71" s="643" t="str">
        <f t="shared" si="12"/>
        <v/>
      </c>
      <c r="O71" s="742"/>
      <c r="P71" s="742"/>
      <c r="Q71" s="742" t="s">
        <v>46</v>
      </c>
      <c r="R71" s="742"/>
      <c r="S71" s="742"/>
      <c r="T71" s="642"/>
      <c r="U71" s="642"/>
      <c r="V71" s="642" t="s">
        <v>2004</v>
      </c>
      <c r="W71" s="642"/>
      <c r="X71" s="642"/>
      <c r="Y71" s="784"/>
      <c r="Z71" s="645"/>
      <c r="AA71" s="648"/>
      <c r="AB71" s="645"/>
      <c r="AC71" s="645"/>
      <c r="AD71" s="645"/>
    </row>
    <row r="72" spans="1:30" ht="27" customHeight="1">
      <c r="A72" s="644"/>
      <c r="B72" s="688">
        <v>55</v>
      </c>
      <c r="C72" s="642"/>
      <c r="D72" s="752"/>
      <c r="E72" s="642" t="s">
        <v>1990</v>
      </c>
      <c r="F72" s="642"/>
      <c r="G72" s="642"/>
      <c r="H72" s="680"/>
      <c r="I72" s="788">
        <f t="shared" si="7"/>
        <v>0</v>
      </c>
      <c r="J72" s="788">
        <f t="shared" si="8"/>
        <v>0</v>
      </c>
      <c r="K72" s="788">
        <f t="shared" si="9"/>
        <v>0</v>
      </c>
      <c r="L72" s="643" t="str">
        <f t="shared" si="10"/>
        <v/>
      </c>
      <c r="M72" s="643" t="str">
        <f t="shared" si="11"/>
        <v/>
      </c>
      <c r="N72" s="643" t="str">
        <f t="shared" si="12"/>
        <v/>
      </c>
      <c r="O72" s="742"/>
      <c r="P72" s="742"/>
      <c r="Q72" s="742" t="s">
        <v>86</v>
      </c>
      <c r="R72" s="742"/>
      <c r="S72" s="742"/>
      <c r="T72" s="642"/>
      <c r="U72" s="642"/>
      <c r="V72" s="642" t="s">
        <v>2005</v>
      </c>
      <c r="W72" s="642"/>
      <c r="X72" s="642"/>
      <c r="Y72" s="784"/>
      <c r="Z72" s="645"/>
      <c r="AA72" s="648"/>
      <c r="AB72" s="645"/>
      <c r="AC72" s="645"/>
      <c r="AD72" s="645"/>
    </row>
    <row r="73" spans="1:30" ht="36" customHeight="1">
      <c r="A73" s="644"/>
      <c r="B73" s="688">
        <v>56</v>
      </c>
      <c r="C73" s="642"/>
      <c r="D73" s="752"/>
      <c r="E73" s="642" t="s">
        <v>1992</v>
      </c>
      <c r="F73" s="642"/>
      <c r="G73" s="642"/>
      <c r="H73" s="680"/>
      <c r="I73" s="788">
        <f t="shared" si="7"/>
        <v>0</v>
      </c>
      <c r="J73" s="788">
        <f t="shared" si="8"/>
        <v>0</v>
      </c>
      <c r="K73" s="788">
        <f t="shared" si="9"/>
        <v>0</v>
      </c>
      <c r="L73" s="643" t="str">
        <f t="shared" si="10"/>
        <v/>
      </c>
      <c r="M73" s="643" t="str">
        <f t="shared" si="11"/>
        <v/>
      </c>
      <c r="N73" s="643" t="str">
        <f t="shared" si="12"/>
        <v/>
      </c>
      <c r="O73" s="742"/>
      <c r="P73" s="742"/>
      <c r="Q73" s="742" t="s">
        <v>87</v>
      </c>
      <c r="R73" s="742"/>
      <c r="S73" s="742"/>
      <c r="T73" s="642"/>
      <c r="U73" s="642"/>
      <c r="V73" s="642" t="s">
        <v>2006</v>
      </c>
      <c r="W73" s="642"/>
      <c r="X73" s="642"/>
      <c r="Y73" s="784"/>
      <c r="Z73" s="645"/>
      <c r="AA73" s="648"/>
      <c r="AB73" s="645"/>
      <c r="AC73" s="645"/>
      <c r="AD73" s="645"/>
    </row>
    <row r="74" spans="1:30" ht="18" customHeight="1">
      <c r="A74" s="644"/>
      <c r="B74" s="688">
        <v>57</v>
      </c>
      <c r="C74" s="642"/>
      <c r="D74" s="752"/>
      <c r="E74" s="642" t="s">
        <v>2001</v>
      </c>
      <c r="F74" s="642"/>
      <c r="G74" s="642"/>
      <c r="H74" s="680"/>
      <c r="I74" s="788">
        <f t="shared" si="7"/>
        <v>0</v>
      </c>
      <c r="J74" s="788">
        <f t="shared" si="8"/>
        <v>0</v>
      </c>
      <c r="K74" s="788">
        <f t="shared" si="9"/>
        <v>0</v>
      </c>
      <c r="L74" s="643" t="str">
        <f t="shared" si="10"/>
        <v/>
      </c>
      <c r="M74" s="643" t="str">
        <f t="shared" si="11"/>
        <v/>
      </c>
      <c r="N74" s="643" t="str">
        <f t="shared" si="12"/>
        <v/>
      </c>
      <c r="O74" s="742"/>
      <c r="P74" s="742"/>
      <c r="Q74" s="742" t="s">
        <v>88</v>
      </c>
      <c r="R74" s="742"/>
      <c r="S74" s="742"/>
      <c r="T74" s="642"/>
      <c r="U74" s="642"/>
      <c r="V74" s="642" t="s">
        <v>2007</v>
      </c>
      <c r="W74" s="642"/>
      <c r="X74" s="642"/>
      <c r="Y74" s="784"/>
      <c r="Z74" s="645"/>
      <c r="AA74" s="648"/>
      <c r="AB74" s="645"/>
      <c r="AC74" s="645"/>
      <c r="AD74" s="645"/>
    </row>
    <row r="75" spans="1:30" ht="18" customHeight="1">
      <c r="A75" s="644"/>
      <c r="B75" s="688">
        <v>58</v>
      </c>
      <c r="C75" s="642"/>
      <c r="D75" s="752"/>
      <c r="E75" s="642"/>
      <c r="F75" s="642" t="s">
        <v>1986</v>
      </c>
      <c r="G75" s="642"/>
      <c r="H75" s="680"/>
      <c r="I75" s="788">
        <f t="shared" si="7"/>
        <v>0</v>
      </c>
      <c r="J75" s="788">
        <f t="shared" si="8"/>
        <v>0</v>
      </c>
      <c r="K75" s="788">
        <f t="shared" si="9"/>
        <v>0</v>
      </c>
      <c r="L75" s="643" t="str">
        <f t="shared" si="10"/>
        <v/>
      </c>
      <c r="M75" s="643" t="str">
        <f t="shared" si="11"/>
        <v/>
      </c>
      <c r="N75" s="643" t="str">
        <f t="shared" si="12"/>
        <v/>
      </c>
      <c r="O75" s="742"/>
      <c r="P75" s="742"/>
      <c r="Q75" s="742"/>
      <c r="R75" s="742" t="s">
        <v>27</v>
      </c>
      <c r="S75" s="742"/>
      <c r="T75" s="642"/>
      <c r="U75" s="642"/>
      <c r="V75" s="642"/>
      <c r="W75" s="642" t="s">
        <v>2008</v>
      </c>
      <c r="X75" s="642"/>
      <c r="Y75" s="784"/>
      <c r="Z75" s="645"/>
      <c r="AA75" s="648"/>
      <c r="AB75" s="645"/>
      <c r="AC75" s="645"/>
      <c r="AD75" s="645"/>
    </row>
    <row r="76" spans="1:30" ht="36" customHeight="1">
      <c r="A76" s="644"/>
      <c r="B76" s="688">
        <v>59</v>
      </c>
      <c r="C76" s="642"/>
      <c r="D76" s="752"/>
      <c r="E76" s="642"/>
      <c r="F76" s="642" t="s">
        <v>1988</v>
      </c>
      <c r="G76" s="642"/>
      <c r="H76" s="680"/>
      <c r="I76" s="788">
        <f t="shared" si="7"/>
        <v>0</v>
      </c>
      <c r="J76" s="788">
        <f t="shared" si="8"/>
        <v>0</v>
      </c>
      <c r="K76" s="788">
        <f t="shared" si="9"/>
        <v>0</v>
      </c>
      <c r="L76" s="643" t="str">
        <f t="shared" si="10"/>
        <v/>
      </c>
      <c r="M76" s="643" t="str">
        <f t="shared" si="11"/>
        <v/>
      </c>
      <c r="N76" s="643" t="str">
        <f t="shared" si="12"/>
        <v/>
      </c>
      <c r="O76" s="742"/>
      <c r="P76" s="742"/>
      <c r="Q76" s="742"/>
      <c r="R76" s="742" t="s">
        <v>46</v>
      </c>
      <c r="S76" s="742"/>
      <c r="T76" s="642"/>
      <c r="U76" s="642"/>
      <c r="V76" s="642"/>
      <c r="W76" s="642" t="s">
        <v>2009</v>
      </c>
      <c r="X76" s="642"/>
      <c r="Y76" s="784"/>
      <c r="Z76" s="645"/>
      <c r="AA76" s="648"/>
      <c r="AB76" s="645"/>
      <c r="AC76" s="645"/>
      <c r="AD76" s="645"/>
    </row>
    <row r="77" spans="1:30" ht="18" customHeight="1">
      <c r="A77" s="644"/>
      <c r="B77" s="688">
        <v>60</v>
      </c>
      <c r="C77" s="642"/>
      <c r="D77" s="752"/>
      <c r="E77" s="642"/>
      <c r="F77" s="642" t="s">
        <v>1990</v>
      </c>
      <c r="G77" s="642"/>
      <c r="H77" s="680"/>
      <c r="I77" s="788">
        <f t="shared" si="7"/>
        <v>0</v>
      </c>
      <c r="J77" s="788">
        <f t="shared" si="8"/>
        <v>0</v>
      </c>
      <c r="K77" s="788">
        <f t="shared" si="9"/>
        <v>0</v>
      </c>
      <c r="L77" s="643" t="str">
        <f t="shared" si="10"/>
        <v/>
      </c>
      <c r="M77" s="643" t="str">
        <f t="shared" si="11"/>
        <v/>
      </c>
      <c r="N77" s="643" t="str">
        <f t="shared" si="12"/>
        <v/>
      </c>
      <c r="O77" s="742"/>
      <c r="P77" s="742"/>
      <c r="Q77" s="742"/>
      <c r="R77" s="742" t="s">
        <v>86</v>
      </c>
      <c r="S77" s="742"/>
      <c r="T77" s="642"/>
      <c r="U77" s="642"/>
      <c r="V77" s="642"/>
      <c r="W77" s="642" t="s">
        <v>2010</v>
      </c>
      <c r="X77" s="642"/>
      <c r="Y77" s="784"/>
      <c r="Z77" s="645"/>
      <c r="AA77" s="648"/>
      <c r="AB77" s="645"/>
      <c r="AC77" s="645"/>
      <c r="AD77" s="645"/>
    </row>
    <row r="78" spans="1:30" ht="72" customHeight="1">
      <c r="A78" s="644"/>
      <c r="B78" s="688">
        <v>61</v>
      </c>
      <c r="C78" s="642" t="s">
        <v>1986</v>
      </c>
      <c r="D78" s="752"/>
      <c r="E78" s="642"/>
      <c r="F78" s="642"/>
      <c r="G78" s="642"/>
      <c r="H78" s="680"/>
      <c r="I78" s="788" t="str">
        <f t="shared" si="7"/>
        <v>7</v>
      </c>
      <c r="J78" s="78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78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643" t="str">
        <f t="shared" si="10"/>
        <v>7</v>
      </c>
      <c r="M78" s="64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64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742" t="s">
        <v>27</v>
      </c>
      <c r="P78" s="742"/>
      <c r="Q78" s="742"/>
      <c r="R78" s="742"/>
      <c r="S78" s="742"/>
      <c r="T78" s="642" t="s">
        <v>2011</v>
      </c>
      <c r="U78" s="642"/>
      <c r="V78" s="642"/>
      <c r="W78" s="642"/>
      <c r="X78" s="642"/>
      <c r="Y78" s="784"/>
      <c r="Z78" s="645" t="s">
        <v>2012</v>
      </c>
      <c r="AA78" s="648"/>
      <c r="AB78" s="645"/>
      <c r="AC78" s="645"/>
      <c r="AD78" s="645"/>
    </row>
    <row r="79" spans="1:30" ht="36" customHeight="1">
      <c r="A79" s="644"/>
      <c r="B79" s="688">
        <v>62</v>
      </c>
      <c r="C79" s="642" t="s">
        <v>1988</v>
      </c>
      <c r="D79" s="752"/>
      <c r="E79" s="642"/>
      <c r="F79" s="642"/>
      <c r="G79" s="642"/>
      <c r="H79" s="680"/>
      <c r="I79" s="788" t="str">
        <f t="shared" si="7"/>
        <v>8</v>
      </c>
      <c r="J79" s="788" t="str">
        <f t="shared" si="8"/>
        <v>Тепловая нагрузка по договорам, заключенным в рамках осуществления регулируемых видов деятельности</v>
      </c>
      <c r="K79" s="78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643" t="str">
        <f t="shared" si="10"/>
        <v>8</v>
      </c>
      <c r="M79" s="643" t="str">
        <f t="shared" si="11"/>
        <v>Тепловая нагрузка по договорам, заключенным в рамках осуществления регулируемых видов деятельности</v>
      </c>
      <c r="N79" s="64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742" t="s">
        <v>46</v>
      </c>
      <c r="P79" s="742"/>
      <c r="Q79" s="742"/>
      <c r="R79" s="742"/>
      <c r="S79" s="742"/>
      <c r="T79" s="642" t="s">
        <v>2013</v>
      </c>
      <c r="U79" s="642"/>
      <c r="V79" s="642"/>
      <c r="W79" s="642"/>
      <c r="X79" s="642"/>
      <c r="Y79" s="784"/>
      <c r="Z79" s="645" t="s">
        <v>2014</v>
      </c>
      <c r="AA79" s="648"/>
      <c r="AB79" s="645"/>
      <c r="AC79" s="645"/>
      <c r="AD79" s="645"/>
    </row>
    <row r="80" spans="1:30" ht="45" customHeight="1">
      <c r="A80" s="644"/>
      <c r="B80" s="688">
        <v>63</v>
      </c>
      <c r="C80" s="642" t="s">
        <v>1990</v>
      </c>
      <c r="D80" s="752"/>
      <c r="E80" s="642"/>
      <c r="F80" s="642"/>
      <c r="G80" s="642"/>
      <c r="H80" s="680"/>
      <c r="I80" s="788" t="str">
        <f t="shared" si="7"/>
        <v>9</v>
      </c>
      <c r="J80" s="788" t="str">
        <f t="shared" si="8"/>
        <v>Объем вырабатываемой регулируемой организацией тепловой энергии в рамках осуществления регулируемых видов деятельности</v>
      </c>
      <c r="K80" s="78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643" t="str">
        <f t="shared" si="10"/>
        <v>9</v>
      </c>
      <c r="M80" s="643" t="str">
        <f t="shared" si="11"/>
        <v>Объем вырабатываемой регулируемой организацией тепловой энергии в рамках осуществления регулируемых видов деятельности</v>
      </c>
      <c r="N80" s="64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742" t="s">
        <v>86</v>
      </c>
      <c r="P80" s="742"/>
      <c r="Q80" s="742"/>
      <c r="R80" s="742"/>
      <c r="S80" s="742"/>
      <c r="T80" s="642" t="s">
        <v>2015</v>
      </c>
      <c r="U80" s="642"/>
      <c r="V80" s="642"/>
      <c r="W80" s="642"/>
      <c r="X80" s="642"/>
      <c r="Y80" s="784"/>
      <c r="Z80" s="645" t="s">
        <v>2016</v>
      </c>
      <c r="AA80" s="648"/>
      <c r="AB80" s="645"/>
      <c r="AC80" s="645"/>
      <c r="AD80" s="645"/>
    </row>
    <row r="81" spans="1:30" ht="36" customHeight="1">
      <c r="A81" s="644"/>
      <c r="B81" s="688">
        <v>64</v>
      </c>
      <c r="C81" s="642" t="s">
        <v>1992</v>
      </c>
      <c r="D81" s="752"/>
      <c r="E81" s="642"/>
      <c r="F81" s="642"/>
      <c r="G81" s="642"/>
      <c r="H81" s="680"/>
      <c r="I81" s="788" t="str">
        <f t="shared" si="7"/>
        <v>9.1</v>
      </c>
      <c r="J81" s="788" t="str">
        <f t="shared" si="8"/>
        <v>Объем приобретаемой регулируемой организацией тепловой энергии в рамках осуществления регулируемых видов деятельности</v>
      </c>
      <c r="K81" s="788" t="str">
        <f t="shared" si="9"/>
        <v>Информация указывается только едиными теплоснабжающими организациями.</v>
      </c>
      <c r="L81" s="643" t="str">
        <f t="shared" si="10"/>
        <v>9.1</v>
      </c>
      <c r="M81" s="643" t="str">
        <f t="shared" si="11"/>
        <v>Объем приобретаемой регулируемой организацией тепловой энергии в рамках осуществления регулируемых видов деятельности</v>
      </c>
      <c r="N81" s="643" t="str">
        <f t="shared" si="12"/>
        <v>Информация указывается только едиными теплоснабжающими организациями.</v>
      </c>
      <c r="O81" s="742" t="s">
        <v>1895</v>
      </c>
      <c r="P81" s="742"/>
      <c r="Q81" s="742"/>
      <c r="R81" s="742"/>
      <c r="S81" s="742"/>
      <c r="T81" s="642" t="s">
        <v>2017</v>
      </c>
      <c r="U81" s="642"/>
      <c r="V81" s="642"/>
      <c r="W81" s="642"/>
      <c r="X81" s="642"/>
      <c r="Y81" s="784"/>
      <c r="Z81" s="645" t="s">
        <v>2018</v>
      </c>
      <c r="AA81" s="648"/>
      <c r="AB81" s="645"/>
      <c r="AC81" s="645"/>
      <c r="AD81" s="645"/>
    </row>
    <row r="82" spans="1:30" ht="90" customHeight="1">
      <c r="A82" s="644"/>
      <c r="B82" s="688">
        <v>65</v>
      </c>
      <c r="C82" s="642" t="s">
        <v>2001</v>
      </c>
      <c r="D82" s="752"/>
      <c r="E82" s="642"/>
      <c r="F82" s="642"/>
      <c r="G82" s="642"/>
      <c r="H82" s="680"/>
      <c r="I82" s="788" t="str">
        <f t="shared" ref="I82:I101" si="13">INDEX(TEMPLATE_NUMBER_POINT_FHD,B82,MATCH(TEMPLATE_SPHERE,TEMPLATE_SPHERE_LIST_FOR_NOTE,0))</f>
        <v>10</v>
      </c>
      <c r="J82" s="78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78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643" t="str">
        <f t="shared" ref="L82:L101" si="16">IF(I82=0,"",I82)</f>
        <v>10</v>
      </c>
      <c r="M82" s="64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64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742" t="s">
        <v>87</v>
      </c>
      <c r="P82" s="742"/>
      <c r="Q82" s="742"/>
      <c r="R82" s="742"/>
      <c r="S82" s="742"/>
      <c r="T82" s="642" t="s">
        <v>2019</v>
      </c>
      <c r="U82" s="642"/>
      <c r="V82" s="642"/>
      <c r="W82" s="642"/>
      <c r="X82" s="642"/>
      <c r="Y82" s="784"/>
      <c r="Z82" s="645" t="s">
        <v>2020</v>
      </c>
      <c r="AA82" s="648"/>
      <c r="AB82" s="645"/>
      <c r="AC82" s="645"/>
      <c r="AD82" s="645"/>
    </row>
    <row r="83" spans="1:30" ht="9" customHeight="1">
      <c r="A83" s="644"/>
      <c r="B83" s="688">
        <v>66</v>
      </c>
      <c r="C83" s="642"/>
      <c r="D83" s="752"/>
      <c r="E83" s="642"/>
      <c r="F83" s="642"/>
      <c r="G83" s="642"/>
      <c r="H83" s="680"/>
      <c r="I83" s="788" t="str">
        <f t="shared" si="13"/>
        <v>10.1</v>
      </c>
      <c r="J83" s="788" t="str">
        <f t="shared" si="14"/>
        <v xml:space="preserve">По приборам учёта </v>
      </c>
      <c r="K83" s="788">
        <f t="shared" si="15"/>
        <v>0</v>
      </c>
      <c r="L83" s="643" t="str">
        <f t="shared" si="16"/>
        <v>10.1</v>
      </c>
      <c r="M83" s="643" t="str">
        <f t="shared" si="17"/>
        <v xml:space="preserve">По приборам учёта </v>
      </c>
      <c r="N83" s="643" t="str">
        <f t="shared" si="18"/>
        <v/>
      </c>
      <c r="O83" s="742" t="s">
        <v>1904</v>
      </c>
      <c r="P83" s="742"/>
      <c r="Q83" s="742"/>
      <c r="R83" s="742"/>
      <c r="S83" s="742"/>
      <c r="T83" s="642" t="s">
        <v>2021</v>
      </c>
      <c r="U83" s="642"/>
      <c r="V83" s="642"/>
      <c r="W83" s="642"/>
      <c r="X83" s="642"/>
      <c r="Y83" s="784"/>
      <c r="Z83" s="645"/>
      <c r="AA83" s="648"/>
      <c r="AB83" s="645"/>
      <c r="AC83" s="645"/>
      <c r="AD83" s="645"/>
    </row>
    <row r="84" spans="1:30" ht="54" customHeight="1">
      <c r="A84" s="644"/>
      <c r="B84" s="688">
        <v>67</v>
      </c>
      <c r="C84" s="642"/>
      <c r="D84" s="752"/>
      <c r="E84" s="642"/>
      <c r="F84" s="642"/>
      <c r="G84" s="642"/>
      <c r="H84" s="680"/>
      <c r="I84" s="788" t="str">
        <f t="shared" si="13"/>
        <v>10.1.1</v>
      </c>
      <c r="J84" s="78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788">
        <f t="shared" si="15"/>
        <v>0</v>
      </c>
      <c r="L84" s="643" t="str">
        <f t="shared" si="16"/>
        <v>10.1.1</v>
      </c>
      <c r="M84" s="64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643" t="str">
        <f t="shared" si="18"/>
        <v/>
      </c>
      <c r="O84" s="742" t="s">
        <v>2022</v>
      </c>
      <c r="P84" s="742"/>
      <c r="Q84" s="742"/>
      <c r="R84" s="742"/>
      <c r="S84" s="742"/>
      <c r="T84" s="642" t="s">
        <v>2023</v>
      </c>
      <c r="U84" s="642"/>
      <c r="V84" s="642"/>
      <c r="W84" s="642"/>
      <c r="X84" s="642"/>
      <c r="Y84" s="784"/>
      <c r="Z84" s="645"/>
      <c r="AA84" s="648"/>
      <c r="AB84" s="645"/>
      <c r="AC84" s="645"/>
      <c r="AD84" s="645"/>
    </row>
    <row r="85" spans="1:30" ht="9" customHeight="1">
      <c r="A85" s="644"/>
      <c r="B85" s="688">
        <v>68</v>
      </c>
      <c r="C85" s="642"/>
      <c r="D85" s="752"/>
      <c r="E85" s="642"/>
      <c r="F85" s="642"/>
      <c r="G85" s="642"/>
      <c r="H85" s="680"/>
      <c r="I85" s="788" t="str">
        <f t="shared" si="13"/>
        <v>10.2</v>
      </c>
      <c r="J85" s="788" t="str">
        <f t="shared" si="14"/>
        <v>Расчётным путём</v>
      </c>
      <c r="K85" s="788">
        <f t="shared" si="15"/>
        <v>0</v>
      </c>
      <c r="L85" s="643" t="str">
        <f t="shared" si="16"/>
        <v>10.2</v>
      </c>
      <c r="M85" s="643" t="str">
        <f t="shared" si="17"/>
        <v>Расчётным путём</v>
      </c>
      <c r="N85" s="643" t="str">
        <f t="shared" si="18"/>
        <v/>
      </c>
      <c r="O85" s="742" t="s">
        <v>1908</v>
      </c>
      <c r="P85" s="742"/>
      <c r="Q85" s="742"/>
      <c r="R85" s="742"/>
      <c r="S85" s="742"/>
      <c r="T85" s="642" t="s">
        <v>2024</v>
      </c>
      <c r="U85" s="642"/>
      <c r="V85" s="642"/>
      <c r="W85" s="642"/>
      <c r="X85" s="642"/>
      <c r="Y85" s="784"/>
      <c r="Z85" s="645"/>
      <c r="AA85" s="648"/>
      <c r="AB85" s="645"/>
      <c r="AC85" s="645"/>
      <c r="AD85" s="645"/>
    </row>
    <row r="86" spans="1:30" ht="27" customHeight="1">
      <c r="A86" s="644"/>
      <c r="B86" s="688">
        <v>69</v>
      </c>
      <c r="C86" s="642"/>
      <c r="D86" s="752"/>
      <c r="E86" s="642"/>
      <c r="F86" s="642"/>
      <c r="G86" s="642"/>
      <c r="H86" s="680"/>
      <c r="I86" s="788" t="str">
        <f t="shared" si="13"/>
        <v>10.3</v>
      </c>
      <c r="J86" s="788" t="str">
        <f t="shared" si="14"/>
        <v>По нормативам потребления коммунальных услуг и нормативам потребления коммунальных ресурсов</v>
      </c>
      <c r="K86" s="788">
        <f t="shared" si="15"/>
        <v>0</v>
      </c>
      <c r="L86" s="643" t="str">
        <f t="shared" si="16"/>
        <v>10.3</v>
      </c>
      <c r="M86" s="643" t="str">
        <f t="shared" si="17"/>
        <v>По нормативам потребления коммунальных услуг и нормативам потребления коммунальных ресурсов</v>
      </c>
      <c r="N86" s="643" t="str">
        <f t="shared" si="18"/>
        <v/>
      </c>
      <c r="O86" s="742" t="s">
        <v>2025</v>
      </c>
      <c r="P86" s="742"/>
      <c r="Q86" s="742"/>
      <c r="R86" s="742"/>
      <c r="S86" s="742"/>
      <c r="T86" s="642" t="s">
        <v>2026</v>
      </c>
      <c r="U86" s="642"/>
      <c r="V86" s="642"/>
      <c r="W86" s="642"/>
      <c r="X86" s="642"/>
      <c r="Y86" s="784"/>
      <c r="Z86" s="645"/>
      <c r="AA86" s="648"/>
      <c r="AB86" s="645"/>
      <c r="AC86" s="645"/>
      <c r="AD86" s="645"/>
    </row>
    <row r="87" spans="1:30" ht="36" customHeight="1">
      <c r="A87" s="644"/>
      <c r="B87" s="688">
        <v>70</v>
      </c>
      <c r="C87" s="642" t="s">
        <v>2027</v>
      </c>
      <c r="D87" s="752"/>
      <c r="E87" s="642"/>
      <c r="F87" s="642"/>
      <c r="G87" s="642"/>
      <c r="H87" s="680"/>
      <c r="I87" s="788" t="str">
        <f t="shared" si="13"/>
        <v>11</v>
      </c>
      <c r="J87" s="78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788">
        <f t="shared" si="15"/>
        <v>0</v>
      </c>
      <c r="L87" s="643" t="str">
        <f t="shared" si="16"/>
        <v>11</v>
      </c>
      <c r="M87" s="64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643" t="str">
        <f t="shared" si="18"/>
        <v/>
      </c>
      <c r="O87" s="742" t="s">
        <v>88</v>
      </c>
      <c r="P87" s="742"/>
      <c r="Q87" s="742"/>
      <c r="R87" s="742"/>
      <c r="S87" s="742"/>
      <c r="T87" s="642" t="s">
        <v>2028</v>
      </c>
      <c r="U87" s="642"/>
      <c r="V87" s="642"/>
      <c r="W87" s="642"/>
      <c r="X87" s="642"/>
      <c r="Y87" s="784"/>
      <c r="Z87" s="645"/>
      <c r="AA87" s="648"/>
      <c r="AB87" s="645"/>
      <c r="AC87" s="645"/>
      <c r="AD87" s="645"/>
    </row>
    <row r="88" spans="1:30" ht="18" customHeight="1">
      <c r="A88" s="644"/>
      <c r="B88" s="688">
        <v>71</v>
      </c>
      <c r="C88" s="642" t="s">
        <v>2029</v>
      </c>
      <c r="D88" s="752"/>
      <c r="E88" s="642"/>
      <c r="F88" s="642"/>
      <c r="G88" s="642"/>
      <c r="H88" s="680"/>
      <c r="I88" s="788" t="str">
        <f t="shared" si="13"/>
        <v>12</v>
      </c>
      <c r="J88" s="788" t="str">
        <f t="shared" si="14"/>
        <v>Фактический объем потерь при передаче тепловой энергии</v>
      </c>
      <c r="K88" s="788">
        <f t="shared" si="15"/>
        <v>0</v>
      </c>
      <c r="L88" s="643" t="str">
        <f t="shared" si="16"/>
        <v>12</v>
      </c>
      <c r="M88" s="643" t="str">
        <f t="shared" si="17"/>
        <v>Фактический объем потерь при передаче тепловой энергии</v>
      </c>
      <c r="N88" s="643" t="str">
        <f t="shared" si="18"/>
        <v/>
      </c>
      <c r="O88" s="742" t="s">
        <v>89</v>
      </c>
      <c r="P88" s="742"/>
      <c r="Q88" s="742"/>
      <c r="R88" s="742"/>
      <c r="S88" s="742"/>
      <c r="T88" s="642" t="s">
        <v>2030</v>
      </c>
      <c r="U88" s="642"/>
      <c r="V88" s="642"/>
      <c r="W88" s="642"/>
      <c r="X88" s="642"/>
      <c r="Y88" s="784"/>
      <c r="Z88" s="645"/>
      <c r="AA88" s="648"/>
      <c r="AB88" s="645"/>
      <c r="AC88" s="645"/>
      <c r="AD88" s="645"/>
    </row>
    <row r="89" spans="1:30" ht="18" customHeight="1">
      <c r="A89" s="644"/>
      <c r="B89" s="688">
        <v>72</v>
      </c>
      <c r="C89" s="642" t="s">
        <v>2031</v>
      </c>
      <c r="D89" s="752" t="s">
        <v>2027</v>
      </c>
      <c r="E89" s="642" t="s">
        <v>2027</v>
      </c>
      <c r="F89" s="642" t="s">
        <v>1992</v>
      </c>
      <c r="G89" s="642"/>
      <c r="H89" s="680"/>
      <c r="I89" s="788" t="str">
        <f t="shared" si="13"/>
        <v>13</v>
      </c>
      <c r="J89" s="788" t="str">
        <f t="shared" si="14"/>
        <v>Среднесписочная численность основного производственного персонала</v>
      </c>
      <c r="K89" s="788">
        <f t="shared" si="15"/>
        <v>0</v>
      </c>
      <c r="L89" s="643" t="str">
        <f t="shared" si="16"/>
        <v>13</v>
      </c>
      <c r="M89" s="643" t="str">
        <f t="shared" si="17"/>
        <v>Среднесписочная численность основного производственного персонала</v>
      </c>
      <c r="N89" s="643" t="str">
        <f t="shared" si="18"/>
        <v/>
      </c>
      <c r="O89" s="742" t="s">
        <v>90</v>
      </c>
      <c r="P89" s="742" t="s">
        <v>89</v>
      </c>
      <c r="Q89" s="742" t="s">
        <v>89</v>
      </c>
      <c r="R89" s="742" t="s">
        <v>87</v>
      </c>
      <c r="S89" s="742"/>
      <c r="T89" s="642" t="s">
        <v>2032</v>
      </c>
      <c r="U89" s="642" t="s">
        <v>2032</v>
      </c>
      <c r="V89" s="642" t="s">
        <v>2032</v>
      </c>
      <c r="W89" s="642" t="s">
        <v>2032</v>
      </c>
      <c r="X89" s="642"/>
      <c r="Y89" s="784"/>
      <c r="Z89" s="645"/>
      <c r="AA89" s="648"/>
      <c r="AB89" s="645"/>
      <c r="AC89" s="645"/>
      <c r="AD89" s="645"/>
    </row>
    <row r="90" spans="1:30" ht="27" customHeight="1">
      <c r="A90" s="644"/>
      <c r="B90" s="688">
        <v>73</v>
      </c>
      <c r="C90" s="642" t="s">
        <v>2033</v>
      </c>
      <c r="D90" s="752"/>
      <c r="E90" s="642"/>
      <c r="F90" s="642"/>
      <c r="G90" s="642"/>
      <c r="H90" s="680"/>
      <c r="I90" s="788" t="str">
        <f t="shared" si="13"/>
        <v>14</v>
      </c>
      <c r="J90" s="788" t="str">
        <f t="shared" si="14"/>
        <v>Среднесписочная численность административно-управленческого персонала</v>
      </c>
      <c r="K90" s="788">
        <f t="shared" si="15"/>
        <v>0</v>
      </c>
      <c r="L90" s="643" t="str">
        <f t="shared" si="16"/>
        <v>14</v>
      </c>
      <c r="M90" s="643" t="str">
        <f t="shared" si="17"/>
        <v>Среднесписочная численность административно-управленческого персонала</v>
      </c>
      <c r="N90" s="643" t="str">
        <f t="shared" si="18"/>
        <v/>
      </c>
      <c r="O90" s="742" t="s">
        <v>91</v>
      </c>
      <c r="P90" s="742"/>
      <c r="Q90" s="742"/>
      <c r="R90" s="742"/>
      <c r="S90" s="742"/>
      <c r="T90" s="642" t="s">
        <v>2034</v>
      </c>
      <c r="U90" s="642"/>
      <c r="V90" s="642"/>
      <c r="W90" s="642"/>
      <c r="X90" s="642"/>
      <c r="Y90" s="784"/>
      <c r="Z90" s="645"/>
      <c r="AA90" s="648"/>
      <c r="AB90" s="645"/>
      <c r="AC90" s="645"/>
      <c r="AD90" s="645"/>
    </row>
    <row r="91" spans="1:30" ht="18" customHeight="1">
      <c r="A91" s="644"/>
      <c r="B91" s="688">
        <v>74</v>
      </c>
      <c r="C91" s="642"/>
      <c r="D91" s="752" t="s">
        <v>2029</v>
      </c>
      <c r="E91" s="642" t="s">
        <v>2029</v>
      </c>
      <c r="F91" s="642"/>
      <c r="G91" s="642"/>
      <c r="H91" s="680"/>
      <c r="I91" s="788">
        <f t="shared" si="13"/>
        <v>0</v>
      </c>
      <c r="J91" s="788">
        <f t="shared" si="14"/>
        <v>0</v>
      </c>
      <c r="K91" s="788">
        <f t="shared" si="15"/>
        <v>0</v>
      </c>
      <c r="L91" s="643" t="str">
        <f t="shared" si="16"/>
        <v/>
      </c>
      <c r="M91" s="643" t="str">
        <f t="shared" si="17"/>
        <v/>
      </c>
      <c r="N91" s="643" t="str">
        <f t="shared" si="18"/>
        <v/>
      </c>
      <c r="O91" s="742"/>
      <c r="P91" s="742" t="s">
        <v>90</v>
      </c>
      <c r="Q91" s="742" t="s">
        <v>90</v>
      </c>
      <c r="R91" s="742"/>
      <c r="S91" s="742"/>
      <c r="T91" s="642"/>
      <c r="U91" s="642" t="s">
        <v>2035</v>
      </c>
      <c r="V91" s="642" t="s">
        <v>2035</v>
      </c>
      <c r="W91" s="642"/>
      <c r="X91" s="642"/>
      <c r="Y91" s="784"/>
      <c r="Z91" s="645"/>
      <c r="AA91" s="648"/>
      <c r="AB91" s="645"/>
      <c r="AC91" s="645"/>
      <c r="AD91" s="645"/>
    </row>
    <row r="92" spans="1:30" ht="27" customHeight="1">
      <c r="A92" s="644"/>
      <c r="B92" s="688">
        <v>75</v>
      </c>
      <c r="C92" s="642"/>
      <c r="D92" s="752" t="s">
        <v>2031</v>
      </c>
      <c r="E92" s="642"/>
      <c r="F92" s="642"/>
      <c r="G92" s="642"/>
      <c r="H92" s="680"/>
      <c r="I92" s="788">
        <f t="shared" si="13"/>
        <v>0</v>
      </c>
      <c r="J92" s="788">
        <f t="shared" si="14"/>
        <v>0</v>
      </c>
      <c r="K92" s="788">
        <f t="shared" si="15"/>
        <v>0</v>
      </c>
      <c r="L92" s="643" t="str">
        <f t="shared" si="16"/>
        <v/>
      </c>
      <c r="M92" s="643" t="str">
        <f t="shared" si="17"/>
        <v/>
      </c>
      <c r="N92" s="643" t="str">
        <f t="shared" si="18"/>
        <v/>
      </c>
      <c r="O92" s="742"/>
      <c r="P92" s="742" t="s">
        <v>91</v>
      </c>
      <c r="Q92" s="742"/>
      <c r="R92" s="742"/>
      <c r="S92" s="742"/>
      <c r="T92" s="642"/>
      <c r="U92" s="642" t="s">
        <v>2036</v>
      </c>
      <c r="V92" s="642"/>
      <c r="W92" s="642"/>
      <c r="X92" s="642"/>
      <c r="Y92" s="784"/>
      <c r="Z92" s="645"/>
      <c r="AA92" s="648" t="s">
        <v>2037</v>
      </c>
      <c r="AB92" s="645"/>
      <c r="AC92" s="645"/>
      <c r="AD92" s="645"/>
    </row>
    <row r="93" spans="1:30" ht="27" customHeight="1">
      <c r="A93" s="644"/>
      <c r="B93" s="688">
        <v>76</v>
      </c>
      <c r="C93" s="642"/>
      <c r="D93" s="752"/>
      <c r="E93" s="642"/>
      <c r="F93" s="642"/>
      <c r="G93" s="642"/>
      <c r="H93" s="680"/>
      <c r="I93" s="788">
        <f t="shared" si="13"/>
        <v>0</v>
      </c>
      <c r="J93" s="788">
        <f t="shared" si="14"/>
        <v>0</v>
      </c>
      <c r="K93" s="788">
        <f t="shared" si="15"/>
        <v>0</v>
      </c>
      <c r="L93" s="643" t="str">
        <f t="shared" si="16"/>
        <v/>
      </c>
      <c r="M93" s="643" t="str">
        <f t="shared" si="17"/>
        <v/>
      </c>
      <c r="N93" s="643" t="str">
        <f t="shared" si="18"/>
        <v/>
      </c>
      <c r="O93" s="742"/>
      <c r="P93" s="742" t="s">
        <v>1936</v>
      </c>
      <c r="Q93" s="742"/>
      <c r="R93" s="742"/>
      <c r="S93" s="742"/>
      <c r="T93" s="642"/>
      <c r="U93" s="642" t="s">
        <v>2038</v>
      </c>
      <c r="V93" s="642"/>
      <c r="W93" s="642"/>
      <c r="X93" s="642"/>
      <c r="Y93" s="784"/>
      <c r="Z93" s="645"/>
      <c r="AA93" s="648" t="s">
        <v>2039</v>
      </c>
      <c r="AB93" s="645"/>
      <c r="AC93" s="645"/>
      <c r="AD93" s="645"/>
    </row>
    <row r="94" spans="1:30" ht="45" customHeight="1">
      <c r="A94" s="644"/>
      <c r="B94" s="688">
        <v>77</v>
      </c>
      <c r="C94" s="642"/>
      <c r="D94" s="752" t="s">
        <v>2033</v>
      </c>
      <c r="E94" s="642"/>
      <c r="F94" s="642"/>
      <c r="G94" s="642"/>
      <c r="H94" s="680"/>
      <c r="I94" s="788">
        <f t="shared" si="13"/>
        <v>0</v>
      </c>
      <c r="J94" s="788">
        <f t="shared" si="14"/>
        <v>0</v>
      </c>
      <c r="K94" s="788">
        <f t="shared" si="15"/>
        <v>0</v>
      </c>
      <c r="L94" s="643" t="str">
        <f t="shared" si="16"/>
        <v/>
      </c>
      <c r="M94" s="643" t="str">
        <f t="shared" si="17"/>
        <v/>
      </c>
      <c r="N94" s="643" t="str">
        <f t="shared" si="18"/>
        <v/>
      </c>
      <c r="O94" s="742"/>
      <c r="P94" s="742" t="s">
        <v>1386</v>
      </c>
      <c r="Q94" s="742"/>
      <c r="R94" s="742"/>
      <c r="S94" s="742"/>
      <c r="T94" s="642"/>
      <c r="U94" s="642" t="s">
        <v>2040</v>
      </c>
      <c r="V94" s="642"/>
      <c r="W94" s="642"/>
      <c r="X94" s="642"/>
      <c r="Y94" s="784"/>
      <c r="Z94" s="645"/>
      <c r="AA94" s="648" t="s">
        <v>2041</v>
      </c>
      <c r="AB94" s="645"/>
      <c r="AC94" s="645"/>
      <c r="AD94" s="645"/>
    </row>
    <row r="95" spans="1:30" ht="99" customHeight="1">
      <c r="A95" s="644"/>
      <c r="B95" s="688">
        <v>78</v>
      </c>
      <c r="C95" s="642" t="s">
        <v>2042</v>
      </c>
      <c r="D95" s="752"/>
      <c r="E95" s="642"/>
      <c r="F95" s="642"/>
      <c r="G95" s="642"/>
      <c r="H95" s="680"/>
      <c r="I95" s="788" t="str">
        <f t="shared" si="13"/>
        <v>15</v>
      </c>
      <c r="J95" s="78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788">
        <f t="shared" si="15"/>
        <v>0</v>
      </c>
      <c r="L95" s="643" t="str">
        <f t="shared" si="16"/>
        <v>15</v>
      </c>
      <c r="M95" s="64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643" t="str">
        <f t="shared" si="18"/>
        <v/>
      </c>
      <c r="O95" s="742" t="s">
        <v>1386</v>
      </c>
      <c r="P95" s="742"/>
      <c r="Q95" s="742"/>
      <c r="R95" s="742"/>
      <c r="S95" s="742"/>
      <c r="T95" s="642" t="s">
        <v>2043</v>
      </c>
      <c r="U95" s="642"/>
      <c r="V95" s="642"/>
      <c r="W95" s="642"/>
      <c r="X95" s="642"/>
      <c r="Y95" s="784"/>
      <c r="Z95" s="645"/>
      <c r="AA95" s="648"/>
      <c r="AB95" s="645"/>
      <c r="AC95" s="645"/>
      <c r="AD95" s="645"/>
    </row>
    <row r="96" spans="1:30" ht="99" customHeight="1">
      <c r="A96" s="644"/>
      <c r="B96" s="688">
        <v>79</v>
      </c>
      <c r="C96" s="642" t="s">
        <v>983</v>
      </c>
      <c r="D96" s="752"/>
      <c r="E96" s="642"/>
      <c r="F96" s="642"/>
      <c r="G96" s="642"/>
      <c r="H96" s="680"/>
      <c r="I96" s="788" t="str">
        <f t="shared" si="13"/>
        <v>16</v>
      </c>
      <c r="J96" s="78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78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643" t="str">
        <f t="shared" si="16"/>
        <v>16</v>
      </c>
      <c r="M96" s="64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64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742" t="s">
        <v>1392</v>
      </c>
      <c r="P96" s="742"/>
      <c r="Q96" s="742"/>
      <c r="R96" s="742"/>
      <c r="S96" s="742"/>
      <c r="T96" s="642" t="s">
        <v>2044</v>
      </c>
      <c r="U96" s="642"/>
      <c r="V96" s="642"/>
      <c r="W96" s="642"/>
      <c r="X96" s="642"/>
      <c r="Y96" s="784"/>
      <c r="Z96" s="645" t="s">
        <v>2045</v>
      </c>
      <c r="AA96" s="648"/>
      <c r="AB96" s="645"/>
      <c r="AC96" s="645"/>
      <c r="AD96" s="645"/>
    </row>
    <row r="97" spans="1:30" ht="63" customHeight="1">
      <c r="A97" s="644"/>
      <c r="B97" s="688">
        <v>80</v>
      </c>
      <c r="C97" s="642" t="s">
        <v>2046</v>
      </c>
      <c r="D97" s="752"/>
      <c r="E97" s="642"/>
      <c r="F97" s="642"/>
      <c r="G97" s="642"/>
      <c r="H97" s="680"/>
      <c r="I97" s="788" t="str">
        <f t="shared" si="13"/>
        <v>17</v>
      </c>
      <c r="J97" s="78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788" t="str">
        <f t="shared" si="15"/>
        <v>Регулируемыми организациями указывается информация с по договорам, заключенным в рамках осуществления регулируемой деятельности.</v>
      </c>
      <c r="L97" s="643" t="str">
        <f t="shared" si="16"/>
        <v>17</v>
      </c>
      <c r="M97" s="64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643" t="str">
        <f t="shared" si="18"/>
        <v>Регулируемыми организациями указывается информация с по договорам, заключенным в рамках осуществления регулируемой деятельности.</v>
      </c>
      <c r="O97" s="742" t="s">
        <v>1403</v>
      </c>
      <c r="P97" s="742"/>
      <c r="Q97" s="742"/>
      <c r="R97" s="742"/>
      <c r="S97" s="742"/>
      <c r="T97" s="642" t="s">
        <v>2047</v>
      </c>
      <c r="U97" s="642"/>
      <c r="V97" s="642"/>
      <c r="W97" s="642"/>
      <c r="X97" s="642"/>
      <c r="Y97" s="784"/>
      <c r="Z97" s="645" t="s">
        <v>2048</v>
      </c>
      <c r="AA97" s="648"/>
      <c r="AB97" s="645"/>
      <c r="AC97" s="645"/>
      <c r="AD97" s="645"/>
    </row>
    <row r="98" spans="1:30" ht="63" customHeight="1">
      <c r="A98" s="644"/>
      <c r="B98" s="688">
        <v>81</v>
      </c>
      <c r="C98" s="642" t="s">
        <v>2049</v>
      </c>
      <c r="D98" s="752"/>
      <c r="E98" s="642"/>
      <c r="F98" s="642"/>
      <c r="G98" s="642"/>
      <c r="H98" s="680"/>
      <c r="I98" s="788" t="str">
        <f t="shared" si="13"/>
        <v>18</v>
      </c>
      <c r="J98" s="78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788" t="str">
        <f t="shared" si="15"/>
        <v>Регулируемыми организациями указывается информация с по договорам, заключенным в рамках осуществления регулируемой деятельности.</v>
      </c>
      <c r="L98" s="643" t="str">
        <f t="shared" si="16"/>
        <v>18</v>
      </c>
      <c r="M98" s="64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643" t="str">
        <f t="shared" si="18"/>
        <v>Регулируемыми организациями указывается информация с по договорам, заключенным в рамках осуществления регулируемой деятельности.</v>
      </c>
      <c r="O98" s="742" t="s">
        <v>1417</v>
      </c>
      <c r="P98" s="742"/>
      <c r="Q98" s="742"/>
      <c r="R98" s="742"/>
      <c r="S98" s="742"/>
      <c r="T98" s="642" t="s">
        <v>2050</v>
      </c>
      <c r="U98" s="642"/>
      <c r="V98" s="642"/>
      <c r="W98" s="642"/>
      <c r="X98" s="642"/>
      <c r="Y98" s="784"/>
      <c r="Z98" s="645" t="s">
        <v>2048</v>
      </c>
      <c r="AA98" s="648"/>
      <c r="AB98" s="645"/>
      <c r="AC98" s="645"/>
      <c r="AD98" s="645"/>
    </row>
    <row r="99" spans="1:30" ht="90" customHeight="1">
      <c r="A99" s="644"/>
      <c r="B99" s="688">
        <v>82</v>
      </c>
      <c r="C99" s="642" t="s">
        <v>2051</v>
      </c>
      <c r="D99" s="752"/>
      <c r="E99" s="642"/>
      <c r="F99" s="642"/>
      <c r="G99" s="642"/>
      <c r="H99" s="680"/>
      <c r="I99" s="788" t="str">
        <f t="shared" si="13"/>
        <v>19</v>
      </c>
      <c r="J99" s="78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788" t="str">
        <f t="shared" si="15"/>
        <v>Указывается ссылка на документ, предварительно загруженный в хранилище файлов ФГИС ЕИАС.</v>
      </c>
      <c r="L99" s="643" t="str">
        <f t="shared" si="16"/>
        <v>19</v>
      </c>
      <c r="M99" s="64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643" t="str">
        <f t="shared" si="18"/>
        <v>Указывается ссылка на документ, предварительно загруженный в хранилище файлов ФГИС ЕИАС.</v>
      </c>
      <c r="O99" s="742" t="s">
        <v>1429</v>
      </c>
      <c r="P99" s="742"/>
      <c r="Q99" s="742"/>
      <c r="R99" s="742"/>
      <c r="S99" s="742"/>
      <c r="T99" s="642" t="s">
        <v>2052</v>
      </c>
      <c r="U99" s="642"/>
      <c r="V99" s="642"/>
      <c r="W99" s="642"/>
      <c r="X99" s="642"/>
      <c r="Y99" s="784"/>
      <c r="Z99" s="645" t="s">
        <v>722</v>
      </c>
      <c r="AA99" s="648"/>
      <c r="AB99" s="645"/>
      <c r="AC99" s="645"/>
      <c r="AD99" s="645"/>
    </row>
    <row r="100" spans="1:30" ht="27" customHeight="1">
      <c r="A100" s="644"/>
      <c r="B100" s="688">
        <v>83</v>
      </c>
      <c r="C100" s="642"/>
      <c r="D100" s="752"/>
      <c r="E100" s="642"/>
      <c r="F100" s="642"/>
      <c r="G100" s="642"/>
      <c r="H100" s="680"/>
      <c r="I100" s="788" t="str">
        <f t="shared" si="13"/>
        <v>19.1</v>
      </c>
      <c r="J100" s="788" t="str">
        <f t="shared" si="14"/>
        <v>Информация о показателях физического износа объектов теплоснабжения</v>
      </c>
      <c r="K100" s="788" t="str">
        <f t="shared" si="15"/>
        <v>Указывается ссылка на документ, предварительно загруженный в хранилище файлов ФГИС ЕИАС.</v>
      </c>
      <c r="L100" s="643" t="str">
        <f t="shared" si="16"/>
        <v>19.1</v>
      </c>
      <c r="M100" s="643" t="str">
        <f t="shared" si="17"/>
        <v>Информация о показателях физического износа объектов теплоснабжения</v>
      </c>
      <c r="N100" s="643" t="str">
        <f t="shared" si="18"/>
        <v>Указывается ссылка на документ, предварительно загруженный в хранилище файлов ФГИС ЕИАС.</v>
      </c>
      <c r="O100" s="742" t="s">
        <v>2053</v>
      </c>
      <c r="P100" s="742"/>
      <c r="Q100" s="742"/>
      <c r="R100" s="742"/>
      <c r="S100" s="742"/>
      <c r="T100" s="642" t="s">
        <v>2054</v>
      </c>
      <c r="U100" s="642"/>
      <c r="V100" s="642"/>
      <c r="W100" s="642"/>
      <c r="X100" s="642"/>
      <c r="Y100" s="784"/>
      <c r="Z100" s="645" t="s">
        <v>722</v>
      </c>
      <c r="AA100" s="648"/>
      <c r="AB100" s="645"/>
      <c r="AC100" s="645"/>
      <c r="AD100" s="645"/>
    </row>
    <row r="101" spans="1:30" ht="27" customHeight="1">
      <c r="A101" s="644"/>
      <c r="B101" s="688">
        <v>84</v>
      </c>
      <c r="C101" s="642"/>
      <c r="D101" s="752"/>
      <c r="E101" s="642"/>
      <c r="F101" s="642"/>
      <c r="G101" s="642"/>
      <c r="H101" s="680"/>
      <c r="I101" s="788" t="str">
        <f t="shared" si="13"/>
        <v>19.2</v>
      </c>
      <c r="J101" s="788" t="str">
        <f t="shared" si="14"/>
        <v>Информация о показателях энергетической эффективности объектов теплоснабжения</v>
      </c>
      <c r="K101" s="788" t="str">
        <f t="shared" si="15"/>
        <v>Указывается ссылка на документ, предварительно загруженный в хранилище файлов ФГИС ЕИАС.</v>
      </c>
      <c r="L101" s="643" t="str">
        <f t="shared" si="16"/>
        <v>19.2</v>
      </c>
      <c r="M101" s="643" t="str">
        <f t="shared" si="17"/>
        <v>Информация о показателях энергетической эффективности объектов теплоснабжения</v>
      </c>
      <c r="N101" s="643" t="str">
        <f t="shared" si="18"/>
        <v>Указывается ссылка на документ, предварительно загруженный в хранилище файлов ФГИС ЕИАС.</v>
      </c>
      <c r="O101" s="742" t="s">
        <v>2055</v>
      </c>
      <c r="P101" s="742"/>
      <c r="Q101" s="742"/>
      <c r="R101" s="742"/>
      <c r="S101" s="742"/>
      <c r="T101" s="642" t="s">
        <v>2056</v>
      </c>
      <c r="U101" s="642"/>
      <c r="V101" s="642"/>
      <c r="W101" s="642"/>
      <c r="X101" s="642"/>
      <c r="Y101" s="784"/>
      <c r="Z101" s="645" t="s">
        <v>722</v>
      </c>
      <c r="AA101" s="648"/>
      <c r="AB101" s="645"/>
      <c r="AC101" s="645"/>
      <c r="AD101" s="645"/>
    </row>
    <row r="102" spans="1:30" ht="9" customHeight="1">
      <c r="A102" s="644"/>
      <c r="B102" s="644"/>
      <c r="C102" s="642"/>
      <c r="D102" s="642"/>
      <c r="E102" s="642"/>
      <c r="F102" s="642"/>
      <c r="G102" s="642"/>
      <c r="H102" s="680"/>
      <c r="I102" s="680"/>
      <c r="J102" s="680"/>
      <c r="K102" s="680"/>
      <c r="L102" s="680"/>
      <c r="M102" s="642"/>
      <c r="N102" s="679"/>
      <c r="O102" s="742"/>
      <c r="P102" s="742"/>
      <c r="Q102" s="742"/>
      <c r="R102" s="742"/>
      <c r="S102" s="642"/>
      <c r="T102" s="642"/>
      <c r="U102" s="642"/>
      <c r="V102" s="642"/>
      <c r="W102" s="642"/>
      <c r="X102" s="642"/>
      <c r="Y102" s="784"/>
      <c r="Z102" s="645"/>
      <c r="AA102" s="648"/>
      <c r="AB102" s="645"/>
      <c r="AC102" s="645"/>
      <c r="AD102" s="645"/>
    </row>
    <row r="103" spans="1:30" ht="9" customHeight="1">
      <c r="A103" s="644"/>
      <c r="B103" s="644"/>
      <c r="C103" s="642"/>
      <c r="D103" s="642"/>
      <c r="E103" s="642"/>
      <c r="F103" s="642"/>
      <c r="G103" s="642"/>
      <c r="H103" s="680"/>
      <c r="I103" s="680"/>
      <c r="J103" s="680"/>
      <c r="K103" s="680"/>
      <c r="L103" s="680"/>
      <c r="M103" s="642"/>
      <c r="N103" s="679"/>
      <c r="O103" s="742"/>
      <c r="P103" s="742"/>
      <c r="Q103" s="742"/>
      <c r="R103" s="742"/>
      <c r="S103" s="642"/>
      <c r="T103" s="642"/>
      <c r="U103" s="642"/>
      <c r="V103" s="642"/>
      <c r="W103" s="642"/>
      <c r="X103" s="642"/>
      <c r="Y103" s="784"/>
      <c r="Z103" s="645"/>
      <c r="AA103" s="648"/>
      <c r="AB103" s="645"/>
      <c r="AC103" s="645"/>
      <c r="AD103" s="645"/>
    </row>
    <row r="104" spans="1:30" ht="9" customHeight="1">
      <c r="A104" s="644"/>
      <c r="B104" s="644"/>
      <c r="C104" s="642"/>
      <c r="D104" s="642"/>
      <c r="E104" s="642"/>
      <c r="F104" s="642"/>
      <c r="G104" s="642"/>
      <c r="H104" s="680"/>
      <c r="I104" s="680"/>
      <c r="J104" s="680"/>
      <c r="K104" s="680"/>
      <c r="L104" s="680"/>
      <c r="M104" s="642"/>
      <c r="N104" s="679"/>
      <c r="O104" s="742"/>
      <c r="P104" s="742"/>
      <c r="Q104" s="742"/>
      <c r="R104" s="742"/>
      <c r="S104" s="642"/>
      <c r="T104" s="642"/>
      <c r="U104" s="642"/>
      <c r="V104" s="642"/>
      <c r="W104" s="642"/>
      <c r="X104" s="642"/>
      <c r="Y104" s="784"/>
      <c r="Z104" s="645"/>
      <c r="AA104" s="648"/>
      <c r="AB104" s="645"/>
      <c r="AC104" s="645"/>
      <c r="AD104" s="645"/>
    </row>
    <row r="105" spans="1:30" ht="9" customHeight="1">
      <c r="A105" s="644"/>
      <c r="B105" s="644"/>
      <c r="C105" s="642"/>
      <c r="D105" s="642"/>
      <c r="E105" s="642"/>
      <c r="F105" s="642"/>
      <c r="G105" s="642"/>
      <c r="H105" s="680"/>
      <c r="I105" s="680"/>
      <c r="J105" s="680"/>
      <c r="K105" s="680"/>
      <c r="L105" s="680"/>
      <c r="M105" s="642"/>
      <c r="N105" s="679"/>
      <c r="O105" s="742"/>
      <c r="P105" s="742"/>
      <c r="Q105" s="742"/>
      <c r="R105" s="742"/>
      <c r="S105" s="642"/>
      <c r="T105" s="642"/>
      <c r="U105" s="642"/>
      <c r="V105" s="642"/>
      <c r="W105" s="642"/>
      <c r="X105" s="642"/>
      <c r="Y105" s="784"/>
      <c r="Z105" s="645"/>
      <c r="AA105" s="648"/>
      <c r="AB105" s="645"/>
      <c r="AC105" s="645"/>
      <c r="AD105" s="645"/>
    </row>
    <row r="106" spans="1:30" ht="9" customHeight="1">
      <c r="A106" s="644"/>
      <c r="B106" s="644"/>
      <c r="C106" s="642"/>
      <c r="D106" s="642"/>
      <c r="E106" s="642"/>
      <c r="F106" s="642"/>
      <c r="G106" s="642"/>
      <c r="H106" s="680"/>
      <c r="I106" s="680"/>
      <c r="J106" s="680"/>
      <c r="K106" s="680"/>
      <c r="L106" s="680"/>
      <c r="M106" s="642"/>
      <c r="N106" s="679"/>
      <c r="O106" s="742"/>
      <c r="P106" s="742"/>
      <c r="Q106" s="742"/>
      <c r="R106" s="742"/>
      <c r="S106" s="642"/>
      <c r="T106" s="642"/>
      <c r="U106" s="642"/>
      <c r="V106" s="642"/>
      <c r="W106" s="642"/>
      <c r="X106" s="642"/>
      <c r="Y106" s="784"/>
      <c r="Z106" s="645"/>
      <c r="AA106" s="648"/>
      <c r="AB106" s="645"/>
      <c r="AC106" s="645"/>
      <c r="AD106" s="645"/>
    </row>
    <row r="107" spans="1:30" ht="9" customHeight="1">
      <c r="A107" s="644"/>
      <c r="B107" s="644"/>
      <c r="C107" s="642"/>
      <c r="D107" s="642"/>
      <c r="E107" s="642"/>
      <c r="F107" s="642"/>
      <c r="G107" s="642"/>
      <c r="H107" s="680"/>
      <c r="I107" s="680"/>
      <c r="J107" s="680"/>
      <c r="K107" s="680"/>
      <c r="L107" s="680"/>
      <c r="M107" s="642"/>
      <c r="N107" s="679"/>
      <c r="O107" s="742"/>
      <c r="P107" s="742"/>
      <c r="Q107" s="742"/>
      <c r="R107" s="742"/>
      <c r="S107" s="642"/>
      <c r="T107" s="642"/>
      <c r="U107" s="642"/>
      <c r="V107" s="642"/>
      <c r="W107" s="642"/>
      <c r="X107" s="642"/>
      <c r="Y107" s="784"/>
      <c r="Z107" s="645"/>
      <c r="AA107" s="648"/>
      <c r="AB107" s="645"/>
      <c r="AC107" s="645"/>
      <c r="AD107" s="645"/>
    </row>
    <row r="108" spans="1:30" ht="9" customHeight="1">
      <c r="A108" s="644"/>
      <c r="B108" s="644"/>
      <c r="C108" s="642"/>
      <c r="D108" s="642"/>
      <c r="E108" s="642"/>
      <c r="F108" s="642"/>
      <c r="G108" s="642"/>
      <c r="H108" s="680"/>
      <c r="I108" s="680"/>
      <c r="J108" s="680"/>
      <c r="K108" s="680"/>
      <c r="L108" s="680"/>
      <c r="M108" s="642"/>
      <c r="N108" s="679"/>
      <c r="O108" s="742"/>
      <c r="P108" s="742"/>
      <c r="Q108" s="742"/>
      <c r="R108" s="742"/>
      <c r="S108" s="642"/>
      <c r="T108" s="642"/>
      <c r="U108" s="642"/>
      <c r="V108" s="642"/>
      <c r="W108" s="642"/>
      <c r="X108" s="642"/>
      <c r="Y108" s="784"/>
      <c r="Z108" s="645"/>
      <c r="AA108" s="648"/>
      <c r="AB108" s="645"/>
      <c r="AC108" s="645"/>
      <c r="AD108" s="645"/>
    </row>
    <row r="109" spans="1:30" ht="9" customHeight="1">
      <c r="A109" s="644"/>
      <c r="B109" s="644"/>
      <c r="C109" s="642"/>
      <c r="D109" s="642"/>
      <c r="E109" s="642"/>
      <c r="F109" s="642"/>
      <c r="G109" s="642"/>
      <c r="H109" s="680"/>
      <c r="I109" s="680"/>
      <c r="J109" s="680"/>
      <c r="K109" s="680"/>
      <c r="L109" s="680"/>
      <c r="M109" s="642"/>
      <c r="N109" s="679"/>
      <c r="O109" s="742"/>
      <c r="P109" s="742"/>
      <c r="Q109" s="742"/>
      <c r="R109" s="742"/>
      <c r="S109" s="642"/>
      <c r="T109" s="642"/>
      <c r="U109" s="642"/>
      <c r="V109" s="642"/>
      <c r="W109" s="642"/>
      <c r="X109" s="642"/>
      <c r="Y109" s="784"/>
      <c r="Z109" s="645"/>
      <c r="AA109" s="648"/>
      <c r="AB109" s="645"/>
      <c r="AC109" s="645"/>
      <c r="AD109" s="645"/>
    </row>
    <row r="110" spans="1:30" ht="9" customHeight="1">
      <c r="A110" s="644"/>
      <c r="B110" s="644"/>
      <c r="C110" s="642"/>
      <c r="D110" s="642"/>
      <c r="E110" s="642"/>
      <c r="F110" s="642"/>
      <c r="G110" s="642"/>
      <c r="H110" s="680"/>
      <c r="I110" s="680"/>
      <c r="J110" s="680"/>
      <c r="K110" s="680"/>
      <c r="L110" s="680"/>
      <c r="M110" s="642"/>
      <c r="N110" s="679"/>
      <c r="O110" s="742"/>
      <c r="P110" s="742"/>
      <c r="Q110" s="742"/>
      <c r="R110" s="742"/>
      <c r="S110" s="642"/>
      <c r="T110" s="642"/>
      <c r="U110" s="642"/>
      <c r="V110" s="642"/>
      <c r="W110" s="642"/>
      <c r="X110" s="642"/>
      <c r="Y110" s="784"/>
      <c r="Z110" s="645"/>
      <c r="AA110" s="648"/>
      <c r="AB110" s="645"/>
      <c r="AC110" s="645"/>
      <c r="AD110" s="645"/>
    </row>
    <row r="111" spans="1:30" ht="9" customHeight="1">
      <c r="A111" s="644"/>
      <c r="B111" s="644"/>
      <c r="C111" s="642"/>
      <c r="D111" s="642"/>
      <c r="E111" s="642"/>
      <c r="F111" s="642"/>
      <c r="G111" s="642"/>
      <c r="H111" s="680"/>
      <c r="I111" s="680"/>
      <c r="J111" s="680"/>
      <c r="K111" s="680"/>
      <c r="L111" s="680"/>
      <c r="M111" s="642"/>
      <c r="N111" s="679"/>
      <c r="O111" s="742"/>
      <c r="P111" s="742"/>
      <c r="Q111" s="742"/>
      <c r="R111" s="742"/>
      <c r="S111" s="642"/>
      <c r="T111" s="642"/>
      <c r="U111" s="642"/>
      <c r="V111" s="642"/>
      <c r="W111" s="642"/>
      <c r="X111" s="642"/>
      <c r="Y111" s="784"/>
      <c r="Z111" s="645"/>
      <c r="AA111" s="648"/>
      <c r="AB111" s="645"/>
      <c r="AC111" s="645"/>
      <c r="AD111" s="645"/>
    </row>
    <row r="112" spans="1:30" ht="9" customHeight="1">
      <c r="A112" s="644"/>
      <c r="B112" s="644"/>
      <c r="C112" s="642"/>
      <c r="D112" s="642"/>
      <c r="E112" s="642"/>
      <c r="F112" s="642"/>
      <c r="G112" s="642"/>
      <c r="H112" s="680"/>
      <c r="I112" s="680"/>
      <c r="J112" s="680"/>
      <c r="K112" s="680"/>
      <c r="L112" s="680"/>
      <c r="M112" s="642"/>
      <c r="N112" s="679"/>
      <c r="O112" s="742"/>
      <c r="P112" s="742"/>
      <c r="Q112" s="742"/>
      <c r="R112" s="742"/>
      <c r="S112" s="642"/>
      <c r="T112" s="642"/>
      <c r="U112" s="642"/>
      <c r="V112" s="642"/>
      <c r="W112" s="642"/>
      <c r="X112" s="642"/>
      <c r="Y112" s="784"/>
      <c r="Z112" s="645"/>
      <c r="AA112" s="648"/>
      <c r="AB112" s="645"/>
      <c r="AC112" s="645"/>
      <c r="AD112" s="645"/>
    </row>
    <row r="113" spans="1:30" ht="9" customHeight="1">
      <c r="A113" s="644"/>
      <c r="B113" s="644"/>
      <c r="C113" s="642"/>
      <c r="D113" s="642"/>
      <c r="E113" s="642"/>
      <c r="F113" s="642"/>
      <c r="G113" s="642"/>
      <c r="H113" s="680"/>
      <c r="I113" s="680"/>
      <c r="J113" s="680"/>
      <c r="K113" s="680"/>
      <c r="L113" s="680"/>
      <c r="M113" s="642"/>
      <c r="N113" s="679"/>
      <c r="O113" s="742"/>
      <c r="P113" s="742"/>
      <c r="Q113" s="742"/>
      <c r="R113" s="742"/>
      <c r="S113" s="642"/>
      <c r="T113" s="642"/>
      <c r="U113" s="642"/>
      <c r="V113" s="642"/>
      <c r="W113" s="642"/>
      <c r="X113" s="642"/>
      <c r="Y113" s="784"/>
      <c r="Z113" s="645"/>
      <c r="AA113" s="648"/>
      <c r="AB113" s="645"/>
      <c r="AC113" s="645"/>
      <c r="AD113" s="645"/>
    </row>
    <row r="114" spans="1:30" ht="9" customHeight="1">
      <c r="A114" s="644"/>
      <c r="B114" s="644"/>
      <c r="C114" s="642"/>
      <c r="D114" s="642"/>
      <c r="E114" s="642"/>
      <c r="F114" s="642"/>
      <c r="G114" s="642"/>
      <c r="H114" s="680"/>
      <c r="I114" s="680"/>
      <c r="J114" s="680"/>
      <c r="K114" s="680"/>
      <c r="L114" s="680"/>
      <c r="M114" s="642"/>
      <c r="N114" s="679"/>
      <c r="O114" s="742"/>
      <c r="P114" s="742"/>
      <c r="Q114" s="742"/>
      <c r="R114" s="742"/>
      <c r="S114" s="642"/>
      <c r="T114" s="642"/>
      <c r="U114" s="642"/>
      <c r="V114" s="642"/>
      <c r="W114" s="642"/>
      <c r="X114" s="642"/>
      <c r="Y114" s="784"/>
      <c r="Z114" s="645"/>
      <c r="AA114" s="648"/>
      <c r="AB114" s="645"/>
      <c r="AC114" s="645"/>
      <c r="AD114" s="645"/>
    </row>
    <row r="115" spans="1:30" ht="9" customHeight="1">
      <c r="A115" s="644"/>
      <c r="B115" s="644"/>
      <c r="C115" s="642"/>
      <c r="D115" s="642"/>
      <c r="E115" s="642"/>
      <c r="F115" s="642"/>
      <c r="G115" s="642"/>
      <c r="H115" s="680"/>
      <c r="I115" s="680"/>
      <c r="J115" s="680"/>
      <c r="K115" s="680"/>
      <c r="L115" s="680"/>
      <c r="M115" s="642"/>
      <c r="N115" s="679"/>
      <c r="O115" s="742"/>
      <c r="P115" s="742"/>
      <c r="Q115" s="742"/>
      <c r="R115" s="742"/>
      <c r="S115" s="642"/>
      <c r="T115" s="642"/>
      <c r="U115" s="642"/>
      <c r="V115" s="642"/>
      <c r="W115" s="642"/>
      <c r="X115" s="642"/>
      <c r="Y115" s="784"/>
      <c r="Z115" s="645"/>
      <c r="AA115" s="648"/>
      <c r="AB115" s="645"/>
      <c r="AC115" s="645"/>
      <c r="AD115" s="645"/>
    </row>
    <row r="116" spans="1:30" ht="9" customHeight="1">
      <c r="A116" s="644"/>
      <c r="B116" s="644"/>
      <c r="C116" s="642"/>
      <c r="D116" s="642"/>
      <c r="E116" s="642"/>
      <c r="F116" s="642"/>
      <c r="G116" s="642"/>
      <c r="H116" s="680"/>
      <c r="I116" s="680"/>
      <c r="J116" s="680"/>
      <c r="K116" s="680"/>
      <c r="L116" s="680"/>
      <c r="M116" s="642"/>
      <c r="N116" s="679"/>
      <c r="O116" s="742"/>
      <c r="P116" s="742"/>
      <c r="Q116" s="742"/>
      <c r="R116" s="742"/>
      <c r="S116" s="642"/>
      <c r="T116" s="642"/>
      <c r="U116" s="642"/>
      <c r="V116" s="642"/>
      <c r="W116" s="642"/>
      <c r="X116" s="642"/>
      <c r="Y116" s="784"/>
      <c r="Z116" s="645"/>
      <c r="AA116" s="648"/>
      <c r="AB116" s="645"/>
      <c r="AC116" s="645"/>
      <c r="AD116" s="645"/>
    </row>
    <row r="117" spans="1:30" ht="9" customHeight="1">
      <c r="A117" s="644"/>
      <c r="B117" s="644"/>
      <c r="C117" s="642"/>
      <c r="D117" s="642"/>
      <c r="E117" s="642"/>
      <c r="F117" s="642"/>
      <c r="G117" s="642"/>
      <c r="H117" s="680"/>
      <c r="I117" s="680"/>
      <c r="J117" s="680"/>
      <c r="K117" s="680"/>
      <c r="L117" s="680"/>
      <c r="M117" s="642"/>
      <c r="N117" s="679"/>
      <c r="O117" s="742"/>
      <c r="P117" s="742"/>
      <c r="Q117" s="742"/>
      <c r="R117" s="742"/>
      <c r="S117" s="642"/>
      <c r="T117" s="642"/>
      <c r="U117" s="642"/>
      <c r="V117" s="642"/>
      <c r="W117" s="642"/>
      <c r="X117" s="642"/>
      <c r="Y117" s="784"/>
      <c r="Z117" s="645"/>
      <c r="AA117" s="648"/>
      <c r="AB117" s="645"/>
      <c r="AC117" s="645"/>
      <c r="AD117" s="645"/>
    </row>
    <row r="118" spans="1:30" ht="9" customHeight="1">
      <c r="A118" s="644"/>
      <c r="B118" s="644"/>
      <c r="C118" s="642"/>
      <c r="D118" s="642"/>
      <c r="E118" s="642"/>
      <c r="F118" s="642"/>
      <c r="G118" s="642"/>
      <c r="H118" s="680"/>
      <c r="I118" s="680"/>
      <c r="J118" s="680"/>
      <c r="K118" s="680"/>
      <c r="L118" s="680"/>
      <c r="M118" s="642"/>
      <c r="N118" s="679"/>
      <c r="O118" s="742"/>
      <c r="P118" s="742"/>
      <c r="Q118" s="742"/>
      <c r="R118" s="742"/>
      <c r="S118" s="642"/>
      <c r="T118" s="642"/>
      <c r="U118" s="642"/>
      <c r="V118" s="642"/>
      <c r="W118" s="642"/>
      <c r="X118" s="642"/>
      <c r="Y118" s="784"/>
      <c r="Z118" s="645"/>
      <c r="AA118" s="648"/>
      <c r="AB118" s="645"/>
      <c r="AC118" s="645"/>
      <c r="AD118" s="645"/>
    </row>
    <row r="119" spans="1:30" ht="9" customHeight="1">
      <c r="A119" s="644"/>
      <c r="B119" s="644"/>
      <c r="C119" s="642"/>
      <c r="D119" s="642"/>
      <c r="E119" s="642"/>
      <c r="F119" s="642"/>
      <c r="G119" s="642"/>
      <c r="H119" s="680"/>
      <c r="I119" s="680"/>
      <c r="J119" s="680"/>
      <c r="K119" s="680"/>
      <c r="L119" s="680"/>
      <c r="M119" s="642"/>
      <c r="N119" s="679"/>
      <c r="O119" s="742"/>
      <c r="P119" s="742"/>
      <c r="Q119" s="742"/>
      <c r="R119" s="742"/>
      <c r="S119" s="642"/>
      <c r="T119" s="642"/>
      <c r="U119" s="642"/>
      <c r="V119" s="642"/>
      <c r="W119" s="642"/>
      <c r="X119" s="642"/>
      <c r="Y119" s="784"/>
      <c r="Z119" s="645"/>
      <c r="AA119" s="648"/>
      <c r="AB119" s="645"/>
      <c r="AC119" s="645"/>
      <c r="AD119" s="645"/>
    </row>
    <row r="120" spans="1:30" ht="9" customHeight="1">
      <c r="A120" s="644"/>
      <c r="B120" s="644"/>
      <c r="C120" s="642"/>
      <c r="D120" s="642"/>
      <c r="E120" s="642"/>
      <c r="F120" s="642"/>
      <c r="G120" s="642"/>
      <c r="H120" s="680"/>
      <c r="I120" s="680"/>
      <c r="J120" s="680"/>
      <c r="K120" s="680"/>
      <c r="L120" s="680"/>
      <c r="M120" s="642"/>
      <c r="N120" s="679"/>
      <c r="O120" s="742"/>
      <c r="P120" s="742"/>
      <c r="Q120" s="742"/>
      <c r="R120" s="742"/>
      <c r="S120" s="642"/>
      <c r="T120" s="642"/>
      <c r="U120" s="642"/>
      <c r="V120" s="642"/>
      <c r="W120" s="642"/>
      <c r="X120" s="642"/>
      <c r="Y120" s="784"/>
      <c r="Z120" s="645"/>
      <c r="AA120" s="648"/>
      <c r="AB120" s="645"/>
      <c r="AC120" s="645"/>
      <c r="AD120" s="645"/>
    </row>
    <row r="121" spans="1:30" ht="9" customHeight="1">
      <c r="A121" s="644"/>
      <c r="B121" s="644"/>
      <c r="C121" s="642"/>
      <c r="D121" s="642"/>
      <c r="E121" s="642"/>
      <c r="F121" s="642"/>
      <c r="G121" s="642"/>
      <c r="H121" s="680"/>
      <c r="I121" s="680"/>
      <c r="J121" s="680"/>
      <c r="K121" s="680"/>
      <c r="L121" s="680"/>
      <c r="M121" s="642"/>
      <c r="N121" s="679"/>
      <c r="O121" s="742"/>
      <c r="P121" s="742"/>
      <c r="Q121" s="742"/>
      <c r="R121" s="742"/>
      <c r="S121" s="642"/>
      <c r="T121" s="642"/>
      <c r="U121" s="642"/>
      <c r="V121" s="642"/>
      <c r="W121" s="642"/>
      <c r="X121" s="642"/>
      <c r="Y121" s="784"/>
      <c r="Z121" s="645"/>
      <c r="AA121" s="648"/>
      <c r="AB121" s="645"/>
      <c r="AC121" s="645"/>
      <c r="AD121" s="645"/>
    </row>
    <row r="122" spans="1:30" ht="9" customHeight="1">
      <c r="A122" s="644"/>
      <c r="B122" s="644"/>
      <c r="C122" s="642"/>
      <c r="D122" s="642"/>
      <c r="E122" s="642"/>
      <c r="F122" s="642"/>
      <c r="G122" s="642"/>
      <c r="H122" s="680"/>
      <c r="I122" s="680"/>
      <c r="J122" s="680"/>
      <c r="K122" s="680"/>
      <c r="L122" s="680"/>
      <c r="M122" s="642"/>
      <c r="N122" s="679"/>
      <c r="O122" s="742"/>
      <c r="P122" s="742"/>
      <c r="Q122" s="742"/>
      <c r="R122" s="742"/>
      <c r="S122" s="642"/>
      <c r="T122" s="642"/>
      <c r="U122" s="642"/>
      <c r="V122" s="642"/>
      <c r="W122" s="642"/>
      <c r="X122" s="642"/>
      <c r="Y122" s="784"/>
      <c r="Z122" s="645"/>
      <c r="AA122" s="648"/>
      <c r="AB122" s="645"/>
      <c r="AC122" s="645"/>
      <c r="AD122" s="645"/>
    </row>
    <row r="123" spans="1:30" ht="9" customHeight="1">
      <c r="A123" s="644"/>
      <c r="B123" s="644"/>
      <c r="C123" s="642"/>
      <c r="D123" s="642"/>
      <c r="E123" s="642"/>
      <c r="F123" s="642"/>
      <c r="G123" s="642"/>
      <c r="H123" s="680"/>
      <c r="I123" s="680"/>
      <c r="J123" s="680"/>
      <c r="K123" s="680"/>
      <c r="L123" s="680"/>
      <c r="M123" s="642"/>
      <c r="N123" s="679"/>
      <c r="O123" s="742"/>
      <c r="P123" s="742"/>
      <c r="Q123" s="742"/>
      <c r="R123" s="742"/>
      <c r="S123" s="642"/>
      <c r="T123" s="642"/>
      <c r="U123" s="642"/>
      <c r="V123" s="642"/>
      <c r="W123" s="642"/>
      <c r="X123" s="642"/>
      <c r="Y123" s="784"/>
      <c r="Z123" s="645"/>
      <c r="AA123" s="648"/>
      <c r="AB123" s="645"/>
      <c r="AC123" s="645"/>
      <c r="AD123" s="645"/>
    </row>
    <row r="124" spans="1:30" ht="9" customHeight="1">
      <c r="A124" s="644"/>
      <c r="B124" s="644"/>
      <c r="C124" s="642"/>
      <c r="D124" s="642"/>
      <c r="E124" s="642"/>
      <c r="F124" s="642"/>
      <c r="G124" s="642"/>
      <c r="H124" s="680"/>
      <c r="I124" s="680"/>
      <c r="J124" s="680"/>
      <c r="K124" s="680"/>
      <c r="L124" s="680"/>
      <c r="M124" s="642"/>
      <c r="N124" s="679"/>
      <c r="O124" s="742"/>
      <c r="P124" s="742"/>
      <c r="Q124" s="742"/>
      <c r="R124" s="742"/>
      <c r="S124" s="642"/>
      <c r="T124" s="642"/>
      <c r="U124" s="642"/>
      <c r="V124" s="642"/>
      <c r="W124" s="642"/>
      <c r="X124" s="642"/>
      <c r="Y124" s="784"/>
      <c r="Z124" s="645"/>
      <c r="AA124" s="648"/>
      <c r="AB124" s="645"/>
      <c r="AC124" s="645"/>
      <c r="AD124" s="645"/>
    </row>
    <row r="125" spans="1:30" ht="9" customHeight="1">
      <c r="A125" s="644"/>
      <c r="B125" s="644"/>
      <c r="C125" s="642"/>
      <c r="D125" s="642"/>
      <c r="E125" s="642"/>
      <c r="F125" s="642"/>
      <c r="G125" s="642"/>
      <c r="H125" s="680"/>
      <c r="I125" s="680"/>
      <c r="J125" s="680"/>
      <c r="K125" s="680"/>
      <c r="L125" s="680"/>
      <c r="M125" s="642"/>
      <c r="N125" s="679"/>
      <c r="O125" s="742"/>
      <c r="P125" s="742"/>
      <c r="Q125" s="742"/>
      <c r="R125" s="742"/>
      <c r="S125" s="642"/>
      <c r="T125" s="642"/>
      <c r="U125" s="642"/>
      <c r="V125" s="642"/>
      <c r="W125" s="642"/>
      <c r="X125" s="642"/>
      <c r="Y125" s="784"/>
      <c r="Z125" s="645"/>
      <c r="AA125" s="648"/>
      <c r="AB125" s="645"/>
      <c r="AC125" s="645"/>
      <c r="AD125" s="645"/>
    </row>
    <row r="126" spans="1:30" ht="9" customHeight="1">
      <c r="A126" s="644"/>
      <c r="B126" s="644"/>
      <c r="C126" s="642"/>
      <c r="D126" s="642"/>
      <c r="E126" s="642"/>
      <c r="F126" s="642"/>
      <c r="G126" s="642"/>
      <c r="H126" s="680"/>
      <c r="I126" s="680"/>
      <c r="J126" s="680"/>
      <c r="K126" s="680"/>
      <c r="L126" s="680"/>
      <c r="M126" s="642"/>
      <c r="N126" s="679"/>
      <c r="O126" s="742"/>
      <c r="P126" s="742"/>
      <c r="Q126" s="742"/>
      <c r="R126" s="742"/>
      <c r="S126" s="642"/>
      <c r="T126" s="642"/>
      <c r="U126" s="642"/>
      <c r="V126" s="642"/>
      <c r="W126" s="642"/>
      <c r="X126" s="642"/>
      <c r="Y126" s="784"/>
      <c r="Z126" s="645"/>
      <c r="AA126" s="648"/>
      <c r="AB126" s="645"/>
      <c r="AC126" s="645"/>
      <c r="AD126" s="645"/>
    </row>
    <row r="127" spans="1:30" ht="9" customHeight="1">
      <c r="A127" s="644"/>
      <c r="B127" s="644"/>
      <c r="C127" s="642"/>
      <c r="D127" s="642"/>
      <c r="E127" s="642"/>
      <c r="F127" s="642"/>
      <c r="G127" s="642"/>
      <c r="H127" s="680"/>
      <c r="I127" s="680"/>
      <c r="J127" s="680"/>
      <c r="K127" s="680"/>
      <c r="L127" s="680"/>
      <c r="M127" s="642"/>
      <c r="N127" s="679"/>
      <c r="O127" s="742"/>
      <c r="P127" s="742"/>
      <c r="Q127" s="742"/>
      <c r="R127" s="742"/>
      <c r="S127" s="642"/>
      <c r="T127" s="642"/>
      <c r="U127" s="642"/>
      <c r="V127" s="642"/>
      <c r="W127" s="642"/>
      <c r="X127" s="642"/>
      <c r="Y127" s="784"/>
      <c r="Z127" s="645"/>
      <c r="AA127" s="648"/>
      <c r="AB127" s="645"/>
      <c r="AC127" s="645"/>
      <c r="AD127" s="645"/>
    </row>
    <row r="128" spans="1:30" ht="9" customHeight="1">
      <c r="A128" s="644"/>
      <c r="B128" s="644"/>
      <c r="C128" s="642"/>
      <c r="D128" s="642"/>
      <c r="E128" s="642"/>
      <c r="F128" s="642"/>
      <c r="G128" s="642"/>
      <c r="H128" s="680"/>
      <c r="I128" s="680"/>
      <c r="J128" s="680"/>
      <c r="K128" s="680"/>
      <c r="L128" s="680"/>
      <c r="M128" s="642"/>
      <c r="N128" s="679"/>
      <c r="O128" s="742"/>
      <c r="P128" s="742"/>
      <c r="Q128" s="742"/>
      <c r="R128" s="742"/>
      <c r="S128" s="642"/>
      <c r="T128" s="642"/>
      <c r="U128" s="642"/>
      <c r="V128" s="642"/>
      <c r="W128" s="642"/>
      <c r="X128" s="642"/>
      <c r="Y128" s="784"/>
      <c r="Z128" s="645"/>
      <c r="AA128" s="648"/>
      <c r="AB128" s="645"/>
      <c r="AC128" s="645"/>
      <c r="AD128" s="645"/>
    </row>
    <row r="129" spans="1:30" ht="9" customHeight="1">
      <c r="A129" s="644"/>
      <c r="B129" s="644"/>
      <c r="C129" s="642"/>
      <c r="D129" s="642"/>
      <c r="E129" s="642"/>
      <c r="F129" s="642"/>
      <c r="G129" s="642"/>
      <c r="H129" s="680"/>
      <c r="I129" s="680"/>
      <c r="J129" s="680"/>
      <c r="K129" s="680"/>
      <c r="L129" s="680"/>
      <c r="M129" s="642"/>
      <c r="N129" s="679"/>
      <c r="O129" s="742"/>
      <c r="P129" s="742"/>
      <c r="Q129" s="742"/>
      <c r="R129" s="742"/>
      <c r="S129" s="642"/>
      <c r="T129" s="642"/>
      <c r="U129" s="642"/>
      <c r="V129" s="642"/>
      <c r="W129" s="642"/>
      <c r="X129" s="642"/>
      <c r="Y129" s="784"/>
      <c r="Z129" s="645"/>
      <c r="AA129" s="648"/>
      <c r="AB129" s="645"/>
      <c r="AC129" s="645"/>
      <c r="AD129" s="645"/>
    </row>
    <row r="130" spans="1:30" ht="9" customHeight="1">
      <c r="A130" s="644"/>
      <c r="B130" s="644"/>
      <c r="C130" s="642"/>
      <c r="D130" s="642"/>
      <c r="E130" s="642"/>
      <c r="F130" s="642"/>
      <c r="G130" s="642"/>
      <c r="H130" s="680"/>
      <c r="I130" s="680"/>
      <c r="J130" s="680"/>
      <c r="K130" s="680"/>
      <c r="L130" s="680"/>
      <c r="M130" s="642"/>
      <c r="N130" s="679"/>
      <c r="O130" s="744"/>
      <c r="P130" s="744"/>
      <c r="Q130" s="744"/>
      <c r="R130" s="744"/>
      <c r="S130" s="642"/>
      <c r="T130" s="642"/>
      <c r="U130" s="642"/>
      <c r="V130" s="642"/>
      <c r="W130" s="642"/>
      <c r="X130" s="642"/>
      <c r="Y130" s="784"/>
      <c r="Z130" s="645"/>
      <c r="AA130" s="648"/>
      <c r="AB130" s="645"/>
      <c r="AC130" s="645"/>
      <c r="AD130" s="645"/>
    </row>
    <row r="131" spans="1:30" ht="9" customHeight="1">
      <c r="A131" s="644"/>
      <c r="B131" s="644"/>
      <c r="C131" s="642"/>
      <c r="D131" s="642"/>
      <c r="E131" s="642"/>
      <c r="F131" s="642"/>
      <c r="G131" s="642"/>
      <c r="H131" s="680"/>
      <c r="I131" s="680"/>
      <c r="J131" s="680"/>
      <c r="K131" s="680"/>
      <c r="L131" s="680"/>
      <c r="M131" s="642"/>
      <c r="N131" s="679"/>
      <c r="O131" s="745"/>
      <c r="P131" s="745"/>
      <c r="Q131" s="745"/>
      <c r="R131" s="745"/>
      <c r="S131" s="642"/>
      <c r="T131" s="642"/>
      <c r="U131" s="642"/>
      <c r="V131" s="642"/>
      <c r="W131" s="642"/>
      <c r="X131" s="642"/>
      <c r="Y131" s="784"/>
      <c r="Z131" s="645"/>
      <c r="AA131" s="648"/>
      <c r="AB131" s="645"/>
      <c r="AC131" s="645"/>
      <c r="AD131" s="645"/>
    </row>
    <row r="132" spans="1:30" ht="9" customHeight="1">
      <c r="A132" s="644"/>
      <c r="B132" s="644"/>
      <c r="C132" s="642"/>
      <c r="D132" s="642"/>
      <c r="E132" s="642"/>
      <c r="F132" s="642"/>
      <c r="G132" s="642"/>
      <c r="H132" s="680"/>
      <c r="I132" s="680"/>
      <c r="J132" s="680"/>
      <c r="K132" s="680"/>
      <c r="L132" s="680"/>
      <c r="M132" s="642"/>
      <c r="N132" s="679"/>
      <c r="O132" s="744"/>
      <c r="P132" s="744"/>
      <c r="Q132" s="744"/>
      <c r="R132" s="744"/>
      <c r="S132" s="642"/>
      <c r="T132" s="642"/>
      <c r="U132" s="642"/>
      <c r="V132" s="642"/>
      <c r="W132" s="642"/>
      <c r="X132" s="642"/>
      <c r="Y132" s="784"/>
      <c r="Z132" s="645"/>
      <c r="AA132" s="648"/>
      <c r="AB132" s="645"/>
      <c r="AC132" s="645"/>
      <c r="AD132" s="645"/>
    </row>
    <row r="133" spans="1:30" ht="9" customHeight="1">
      <c r="A133" s="644"/>
      <c r="B133" s="644"/>
      <c r="C133" s="642"/>
      <c r="D133" s="642"/>
      <c r="E133" s="642"/>
      <c r="F133" s="642"/>
      <c r="G133" s="642"/>
      <c r="H133" s="680"/>
      <c r="I133" s="680"/>
      <c r="J133" s="680"/>
      <c r="K133" s="680"/>
      <c r="L133" s="680"/>
      <c r="M133" s="642"/>
      <c r="N133" s="679"/>
      <c r="O133" s="745"/>
      <c r="P133" s="745"/>
      <c r="Q133" s="745"/>
      <c r="R133" s="745"/>
      <c r="S133" s="642"/>
      <c r="T133" s="642"/>
      <c r="U133" s="642"/>
      <c r="V133" s="642"/>
      <c r="W133" s="642"/>
      <c r="X133" s="642"/>
      <c r="Y133" s="784"/>
      <c r="Z133" s="645"/>
      <c r="AA133" s="648"/>
      <c r="AB133" s="645"/>
      <c r="AC133" s="645"/>
      <c r="AD133" s="645"/>
    </row>
    <row r="134" spans="1:30" ht="9" customHeight="1">
      <c r="A134" s="644"/>
      <c r="B134" s="644"/>
      <c r="C134" s="642"/>
      <c r="D134" s="642"/>
      <c r="E134" s="642"/>
      <c r="F134" s="642"/>
      <c r="G134" s="642"/>
      <c r="H134" s="680"/>
      <c r="I134" s="680"/>
      <c r="J134" s="680"/>
      <c r="K134" s="680"/>
      <c r="L134" s="680"/>
      <c r="M134" s="642"/>
      <c r="N134" s="679"/>
      <c r="O134" s="742"/>
      <c r="P134" s="742"/>
      <c r="Q134" s="742"/>
      <c r="R134" s="742"/>
      <c r="S134" s="642"/>
      <c r="T134" s="642"/>
      <c r="U134" s="642"/>
      <c r="V134" s="642"/>
      <c r="W134" s="642"/>
      <c r="X134" s="642"/>
      <c r="Y134" s="784"/>
      <c r="Z134" s="645"/>
      <c r="AA134" s="648"/>
      <c r="AB134" s="645"/>
      <c r="AC134" s="645"/>
      <c r="AD134" s="645"/>
    </row>
    <row r="135" spans="1:30" ht="9" customHeight="1">
      <c r="A135" s="644"/>
      <c r="B135" s="644"/>
      <c r="C135" s="642"/>
      <c r="D135" s="642"/>
      <c r="E135" s="642"/>
      <c r="F135" s="642"/>
      <c r="G135" s="642"/>
      <c r="H135" s="680"/>
      <c r="I135" s="680"/>
      <c r="J135" s="680"/>
      <c r="K135" s="680"/>
      <c r="L135" s="680"/>
      <c r="M135" s="642"/>
      <c r="N135" s="679"/>
      <c r="O135" s="742"/>
      <c r="P135" s="742"/>
      <c r="Q135" s="742"/>
      <c r="R135" s="742"/>
      <c r="S135" s="642"/>
      <c r="T135" s="642"/>
      <c r="U135" s="642"/>
      <c r="V135" s="642"/>
      <c r="W135" s="642"/>
      <c r="X135" s="642"/>
      <c r="Y135" s="784"/>
      <c r="Z135" s="645"/>
      <c r="AA135" s="648"/>
      <c r="AB135" s="645"/>
      <c r="AC135" s="645"/>
      <c r="AD135" s="645"/>
    </row>
    <row r="136" spans="1:30" ht="9" customHeight="1">
      <c r="A136" s="644"/>
      <c r="B136" s="644"/>
      <c r="C136" s="642"/>
      <c r="D136" s="642"/>
      <c r="E136" s="642"/>
      <c r="F136" s="642"/>
      <c r="G136" s="642"/>
      <c r="H136" s="680"/>
      <c r="I136" s="680"/>
      <c r="J136" s="680"/>
      <c r="K136" s="680"/>
      <c r="L136" s="680"/>
      <c r="M136" s="642"/>
      <c r="N136" s="679"/>
      <c r="O136" s="742"/>
      <c r="P136" s="742"/>
      <c r="Q136" s="742"/>
      <c r="R136" s="742"/>
      <c r="S136" s="642"/>
      <c r="T136" s="642"/>
      <c r="U136" s="642"/>
      <c r="V136" s="642"/>
      <c r="W136" s="642"/>
      <c r="X136" s="642"/>
      <c r="Y136" s="784"/>
      <c r="Z136" s="645"/>
      <c r="AA136" s="648"/>
      <c r="AB136" s="645"/>
      <c r="AC136" s="645"/>
      <c r="AD136" s="645"/>
    </row>
    <row r="137" spans="1:30" ht="9" customHeight="1">
      <c r="A137" s="644"/>
      <c r="B137" s="644"/>
      <c r="C137" s="642"/>
      <c r="D137" s="642"/>
      <c r="E137" s="642"/>
      <c r="F137" s="642"/>
      <c r="G137" s="642"/>
      <c r="H137" s="680"/>
      <c r="I137" s="680"/>
      <c r="J137" s="680"/>
      <c r="K137" s="680"/>
      <c r="L137" s="680"/>
      <c r="M137" s="642"/>
      <c r="N137" s="679"/>
      <c r="O137" s="746"/>
      <c r="P137" s="746"/>
      <c r="Q137" s="746"/>
      <c r="R137" s="746"/>
      <c r="S137" s="642"/>
      <c r="T137" s="642"/>
      <c r="U137" s="642"/>
      <c r="V137" s="642"/>
      <c r="W137" s="642"/>
      <c r="X137" s="642"/>
      <c r="Y137" s="784"/>
      <c r="Z137" s="645"/>
      <c r="AA137" s="648"/>
      <c r="AB137" s="645"/>
      <c r="AC137" s="645"/>
      <c r="AD137" s="645"/>
    </row>
    <row r="138" spans="1:30" ht="9" customHeight="1">
      <c r="A138" s="644"/>
      <c r="B138" s="644"/>
      <c r="C138" s="642"/>
      <c r="D138" s="642"/>
      <c r="E138" s="642"/>
      <c r="F138" s="642"/>
      <c r="G138" s="642"/>
      <c r="H138" s="680"/>
      <c r="I138" s="680"/>
      <c r="J138" s="680"/>
      <c r="K138" s="680"/>
      <c r="L138" s="680"/>
      <c r="M138" s="642"/>
      <c r="N138" s="679"/>
      <c r="O138" s="743"/>
      <c r="P138" s="743"/>
      <c r="Q138" s="743"/>
      <c r="R138" s="743"/>
      <c r="S138" s="642"/>
      <c r="T138" s="642"/>
      <c r="U138" s="642"/>
      <c r="V138" s="642"/>
      <c r="W138" s="642"/>
      <c r="X138" s="642"/>
      <c r="Y138" s="784"/>
      <c r="Z138" s="645"/>
      <c r="AA138" s="648"/>
      <c r="AB138" s="645"/>
      <c r="AC138" s="645"/>
      <c r="AD138" s="645"/>
    </row>
    <row r="139" spans="1:30" ht="9" customHeight="1">
      <c r="A139" s="644"/>
      <c r="B139" s="644"/>
      <c r="C139" s="642"/>
      <c r="D139" s="642"/>
      <c r="E139" s="642"/>
      <c r="F139" s="642"/>
      <c r="G139" s="642"/>
      <c r="H139" s="680"/>
      <c r="I139" s="680"/>
      <c r="J139" s="680"/>
      <c r="K139" s="680"/>
      <c r="L139" s="680"/>
      <c r="M139" s="642"/>
      <c r="N139" s="679"/>
      <c r="O139" s="642"/>
      <c r="P139" s="642"/>
      <c r="Q139" s="642"/>
      <c r="R139" s="642"/>
      <c r="S139" s="642"/>
      <c r="T139" s="642"/>
      <c r="U139" s="642"/>
      <c r="V139" s="642"/>
      <c r="W139" s="642"/>
      <c r="X139" s="642"/>
      <c r="Y139" s="784"/>
      <c r="Z139" s="645"/>
      <c r="AA139" s="648"/>
      <c r="AB139" s="645"/>
      <c r="AC139" s="645"/>
      <c r="AD139" s="645"/>
    </row>
    <row r="140" spans="1:30" ht="9" customHeight="1">
      <c r="A140" s="644"/>
      <c r="B140" s="644"/>
      <c r="C140" s="642"/>
      <c r="D140" s="642"/>
      <c r="E140" s="642"/>
      <c r="F140" s="642"/>
      <c r="G140" s="642"/>
      <c r="H140" s="680"/>
      <c r="I140" s="680"/>
      <c r="J140" s="680"/>
      <c r="K140" s="680"/>
      <c r="L140" s="680"/>
      <c r="M140" s="642"/>
      <c r="N140" s="679"/>
      <c r="O140" s="642"/>
      <c r="P140" s="642"/>
      <c r="Q140" s="642"/>
      <c r="R140" s="642"/>
      <c r="S140" s="642"/>
      <c r="T140" s="642"/>
      <c r="U140" s="642"/>
      <c r="V140" s="642"/>
      <c r="W140" s="642"/>
      <c r="X140" s="642"/>
      <c r="Y140" s="784"/>
      <c r="Z140" s="645"/>
      <c r="AA140" s="648"/>
      <c r="AB140" s="645"/>
      <c r="AC140" s="645"/>
      <c r="AD140" s="645"/>
    </row>
    <row r="141" spans="1:30" ht="9" customHeight="1">
      <c r="A141" s="644"/>
      <c r="B141" s="644"/>
      <c r="C141" s="642"/>
      <c r="D141" s="642"/>
      <c r="E141" s="642"/>
      <c r="F141" s="642"/>
      <c r="G141" s="642"/>
      <c r="H141" s="680"/>
      <c r="I141" s="680"/>
      <c r="J141" s="680"/>
      <c r="K141" s="680"/>
      <c r="L141" s="680"/>
      <c r="M141" s="642"/>
      <c r="N141" s="679"/>
      <c r="O141" s="642"/>
      <c r="P141" s="642"/>
      <c r="Q141" s="642"/>
      <c r="R141" s="642"/>
      <c r="S141" s="642"/>
      <c r="T141" s="642"/>
      <c r="U141" s="642"/>
      <c r="V141" s="642"/>
      <c r="W141" s="642"/>
      <c r="X141" s="642"/>
      <c r="Y141" s="784"/>
      <c r="Z141" s="645"/>
      <c r="AA141" s="648"/>
      <c r="AB141" s="645"/>
      <c r="AC141" s="645"/>
      <c r="AD141" s="645"/>
    </row>
    <row r="142" spans="1:30" ht="9" customHeight="1">
      <c r="A142" s="644"/>
      <c r="B142" s="644"/>
      <c r="C142" s="642"/>
      <c r="D142" s="642"/>
      <c r="E142" s="642"/>
      <c r="F142" s="642"/>
      <c r="G142" s="642"/>
      <c r="H142" s="680"/>
      <c r="I142" s="680"/>
      <c r="J142" s="680"/>
      <c r="K142" s="680"/>
      <c r="L142" s="680"/>
      <c r="M142" s="642"/>
      <c r="N142" s="679"/>
      <c r="O142" s="642"/>
      <c r="P142" s="642"/>
      <c r="Q142" s="642"/>
      <c r="R142" s="642"/>
      <c r="S142" s="642"/>
      <c r="T142" s="642"/>
      <c r="U142" s="642"/>
      <c r="V142" s="642"/>
      <c r="W142" s="642"/>
      <c r="X142" s="642"/>
      <c r="Y142" s="784"/>
      <c r="Z142" s="645"/>
      <c r="AA142" s="648"/>
      <c r="AB142" s="645"/>
      <c r="AC142" s="645"/>
      <c r="AD142" s="645"/>
    </row>
    <row r="143" spans="1:30" ht="9" customHeight="1">
      <c r="A143" s="644"/>
      <c r="B143" s="644"/>
      <c r="C143" s="642"/>
      <c r="D143" s="642"/>
      <c r="E143" s="642"/>
      <c r="F143" s="642"/>
      <c r="G143" s="642"/>
      <c r="H143" s="680"/>
      <c r="I143" s="680"/>
      <c r="J143" s="680"/>
      <c r="K143" s="680"/>
      <c r="L143" s="680"/>
      <c r="M143" s="642"/>
      <c r="N143" s="679"/>
      <c r="O143" s="642"/>
      <c r="P143" s="642"/>
      <c r="Q143" s="642"/>
      <c r="R143" s="642"/>
      <c r="S143" s="642"/>
      <c r="T143" s="642"/>
      <c r="U143" s="642"/>
      <c r="V143" s="642"/>
      <c r="W143" s="642"/>
      <c r="X143" s="642"/>
      <c r="Y143" s="784"/>
      <c r="Z143" s="645"/>
      <c r="AA143" s="648"/>
      <c r="AB143" s="645"/>
      <c r="AC143" s="645"/>
      <c r="AD143" s="645"/>
    </row>
    <row r="144" spans="1:30" ht="9" customHeight="1">
      <c r="A144" s="644"/>
      <c r="B144" s="644"/>
      <c r="C144" s="642"/>
      <c r="D144" s="642"/>
      <c r="E144" s="642"/>
      <c r="F144" s="642"/>
      <c r="G144" s="642"/>
      <c r="H144" s="680"/>
      <c r="I144" s="680"/>
      <c r="J144" s="680"/>
      <c r="K144" s="680"/>
      <c r="L144" s="680"/>
      <c r="M144" s="642"/>
      <c r="N144" s="679"/>
      <c r="O144" s="642"/>
      <c r="P144" s="642"/>
      <c r="Q144" s="642"/>
      <c r="R144" s="642"/>
      <c r="S144" s="642"/>
      <c r="T144" s="642"/>
      <c r="U144" s="642"/>
      <c r="V144" s="642"/>
      <c r="W144" s="642"/>
      <c r="X144" s="642"/>
      <c r="Y144" s="784"/>
      <c r="Z144" s="645"/>
      <c r="AA144" s="648"/>
      <c r="AB144" s="645"/>
      <c r="AC144" s="645"/>
      <c r="AD144" s="645"/>
    </row>
    <row r="145" spans="1:30" ht="9" customHeight="1">
      <c r="A145" s="644"/>
      <c r="B145" s="644"/>
      <c r="C145" s="642"/>
      <c r="D145" s="642"/>
      <c r="E145" s="642"/>
      <c r="F145" s="642"/>
      <c r="G145" s="642"/>
      <c r="H145" s="680"/>
      <c r="I145" s="680"/>
      <c r="J145" s="680"/>
      <c r="K145" s="680"/>
      <c r="L145" s="680"/>
      <c r="M145" s="642"/>
      <c r="N145" s="679"/>
      <c r="O145" s="642"/>
      <c r="P145" s="642"/>
      <c r="Q145" s="642"/>
      <c r="R145" s="642"/>
      <c r="S145" s="642"/>
      <c r="T145" s="642"/>
      <c r="U145" s="642"/>
      <c r="V145" s="642"/>
      <c r="W145" s="642"/>
      <c r="X145" s="642"/>
      <c r="Y145" s="784"/>
      <c r="Z145" s="645"/>
      <c r="AA145" s="648"/>
      <c r="AB145" s="645"/>
      <c r="AC145" s="645"/>
      <c r="AD145" s="645"/>
    </row>
    <row r="146" spans="1:30" ht="9" customHeight="1">
      <c r="A146" s="644"/>
      <c r="B146" s="644"/>
      <c r="C146" s="642"/>
      <c r="D146" s="642"/>
      <c r="E146" s="642"/>
      <c r="F146" s="642"/>
      <c r="G146" s="642"/>
      <c r="H146" s="680"/>
      <c r="I146" s="680"/>
      <c r="J146" s="680"/>
      <c r="K146" s="680"/>
      <c r="L146" s="680"/>
      <c r="M146" s="642"/>
      <c r="N146" s="679"/>
      <c r="O146" s="642"/>
      <c r="P146" s="642"/>
      <c r="Q146" s="642"/>
      <c r="R146" s="642"/>
      <c r="S146" s="642"/>
      <c r="T146" s="642"/>
      <c r="U146" s="642"/>
      <c r="V146" s="642"/>
      <c r="W146" s="642"/>
      <c r="X146" s="642"/>
      <c r="Y146" s="784"/>
      <c r="Z146" s="645"/>
      <c r="AA146" s="648"/>
      <c r="AB146" s="645"/>
      <c r="AC146" s="645"/>
      <c r="AD146" s="645"/>
    </row>
    <row r="147" spans="1:30" ht="9" customHeight="1">
      <c r="A147" s="644"/>
      <c r="B147" s="644"/>
      <c r="C147" s="644"/>
      <c r="D147" s="644"/>
      <c r="E147" s="644"/>
      <c r="F147" s="644"/>
      <c r="G147" s="644"/>
      <c r="H147" s="644"/>
      <c r="I147" s="644"/>
      <c r="J147" s="644"/>
      <c r="K147" s="644"/>
      <c r="L147" s="644"/>
      <c r="M147" s="644"/>
      <c r="N147" s="644"/>
      <c r="O147" s="644"/>
      <c r="P147" s="644"/>
      <c r="Q147" s="644"/>
      <c r="R147" s="644"/>
      <c r="S147" s="644"/>
      <c r="T147" s="644"/>
      <c r="U147" s="644"/>
      <c r="V147" s="644"/>
      <c r="W147" s="644"/>
      <c r="X147" s="644"/>
      <c r="Y147" s="644"/>
      <c r="Z147" s="644"/>
      <c r="AA147" s="644"/>
      <c r="AB147" s="644"/>
      <c r="AC147" s="644"/>
      <c r="AD147" s="644"/>
    </row>
    <row r="148" spans="1:30" ht="90" customHeight="1">
      <c r="A148" s="644" t="s">
        <v>1583</v>
      </c>
      <c r="B148" s="644"/>
      <c r="C148" s="642" t="s">
        <v>2057</v>
      </c>
      <c r="D148" s="642" t="s">
        <v>1485</v>
      </c>
      <c r="E148" s="642" t="s">
        <v>1585</v>
      </c>
      <c r="F148" s="642" t="s">
        <v>2058</v>
      </c>
      <c r="G148" s="642"/>
      <c r="H148" s="642"/>
      <c r="I148" s="748"/>
      <c r="J148" s="748"/>
      <c r="K148" s="748"/>
      <c r="L148" s="748"/>
      <c r="M148" s="68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647"/>
      <c r="O148" s="642"/>
      <c r="P148" s="643"/>
      <c r="Q148" s="643"/>
      <c r="R148" s="643"/>
      <c r="S148" s="642"/>
      <c r="T148" s="642" t="s">
        <v>2059</v>
      </c>
      <c r="U148" s="64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643"/>
      <c r="W148" s="643"/>
      <c r="X148" s="642" t="s">
        <v>2060</v>
      </c>
      <c r="Y148" s="784"/>
      <c r="Z148" s="645"/>
      <c r="AA148" s="648"/>
      <c r="AB148" s="645"/>
      <c r="AC148" s="645"/>
      <c r="AD148" s="645"/>
    </row>
    <row r="149" spans="1:30" ht="9" customHeight="1">
      <c r="A149" s="644"/>
      <c r="B149" s="644"/>
      <c r="C149" s="644"/>
      <c r="D149" s="644"/>
      <c r="E149" s="644"/>
      <c r="F149" s="644"/>
      <c r="G149" s="644"/>
      <c r="H149" s="644"/>
      <c r="I149" s="644"/>
      <c r="J149" s="644"/>
      <c r="K149" s="644"/>
      <c r="L149" s="644"/>
      <c r="M149" s="644"/>
      <c r="N149" s="644"/>
      <c r="O149" s="644"/>
      <c r="P149" s="644"/>
      <c r="Q149" s="644"/>
      <c r="R149" s="644"/>
      <c r="S149" s="644"/>
      <c r="T149" s="644"/>
      <c r="U149" s="644"/>
      <c r="V149" s="644"/>
      <c r="W149" s="644"/>
      <c r="X149" s="644"/>
      <c r="Y149" s="644"/>
      <c r="Z149" s="644"/>
      <c r="AA149" s="644"/>
      <c r="AB149" s="644"/>
      <c r="AC149" s="644"/>
      <c r="AD149" s="644"/>
    </row>
    <row r="150" spans="1:30" ht="9" customHeight="1">
      <c r="A150" s="644" t="s">
        <v>1587</v>
      </c>
      <c r="B150" s="644"/>
      <c r="C150" s="642"/>
      <c r="D150" s="642"/>
      <c r="E150" s="642"/>
      <c r="F150" s="642"/>
      <c r="G150" s="642"/>
      <c r="H150" s="642"/>
      <c r="I150" s="642"/>
      <c r="J150" s="642"/>
      <c r="K150" s="642"/>
      <c r="L150" s="642"/>
      <c r="M150" s="642"/>
      <c r="N150" s="642"/>
      <c r="O150" s="642"/>
      <c r="P150" s="642"/>
      <c r="Q150" s="642"/>
      <c r="R150" s="642"/>
      <c r="S150" s="642"/>
      <c r="T150" s="642"/>
      <c r="U150" s="642"/>
      <c r="V150" s="642"/>
      <c r="W150" s="642"/>
      <c r="X150" s="642"/>
      <c r="Y150" s="784"/>
      <c r="Z150" s="645"/>
      <c r="AA150" s="648"/>
      <c r="AB150" s="645"/>
      <c r="AC150" s="645"/>
      <c r="AD150" s="645"/>
    </row>
    <row r="151" spans="1:30" ht="9" customHeight="1">
      <c r="A151" s="644"/>
      <c r="B151" s="644"/>
      <c r="C151" s="644"/>
      <c r="D151" s="644"/>
      <c r="E151" s="644"/>
      <c r="F151" s="644"/>
      <c r="G151" s="644"/>
      <c r="H151" s="644"/>
      <c r="I151" s="644"/>
      <c r="J151" s="644"/>
      <c r="K151" s="644"/>
      <c r="L151" s="644"/>
      <c r="M151" s="644"/>
      <c r="N151" s="644"/>
      <c r="O151" s="644"/>
      <c r="P151" s="644"/>
      <c r="Q151" s="644"/>
      <c r="R151" s="644"/>
      <c r="S151" s="644"/>
      <c r="T151" s="644"/>
      <c r="U151" s="644"/>
      <c r="V151" s="644"/>
      <c r="W151" s="644"/>
      <c r="X151" s="644"/>
      <c r="Y151" s="644"/>
      <c r="Z151" s="644"/>
      <c r="AA151" s="644"/>
      <c r="AB151" s="644"/>
      <c r="AC151" s="644"/>
      <c r="AD151" s="644"/>
    </row>
    <row r="152" spans="1:30" ht="9" customHeight="1">
      <c r="A152" s="644" t="s">
        <v>1590</v>
      </c>
      <c r="B152" s="644"/>
      <c r="C152" s="642"/>
      <c r="D152" s="642"/>
      <c r="E152" s="642"/>
      <c r="F152" s="642"/>
      <c r="G152" s="642"/>
      <c r="H152" s="642"/>
      <c r="I152" s="642"/>
      <c r="J152" s="642"/>
      <c r="K152" s="642"/>
      <c r="L152" s="642"/>
      <c r="M152" s="642"/>
      <c r="N152" s="642"/>
      <c r="O152" s="642"/>
      <c r="P152" s="642"/>
      <c r="Q152" s="642"/>
      <c r="R152" s="642"/>
      <c r="S152" s="642"/>
      <c r="T152" s="642"/>
      <c r="U152" s="642"/>
      <c r="V152" s="642"/>
      <c r="W152" s="642"/>
      <c r="X152" s="642"/>
      <c r="Y152" s="784"/>
      <c r="Z152" s="645"/>
      <c r="AA152" s="648"/>
      <c r="AB152" s="645"/>
      <c r="AC152" s="645"/>
      <c r="AD152" s="645"/>
    </row>
    <row r="153" spans="1:30" ht="9" customHeight="1">
      <c r="A153" s="644"/>
      <c r="B153" s="644"/>
      <c r="C153" s="644"/>
      <c r="D153" s="644"/>
      <c r="E153" s="644"/>
      <c r="F153" s="644"/>
      <c r="G153" s="644"/>
      <c r="H153" s="644"/>
      <c r="I153" s="644"/>
      <c r="J153" s="644"/>
      <c r="K153" s="644"/>
      <c r="L153" s="644"/>
      <c r="M153" s="644"/>
      <c r="N153" s="644"/>
      <c r="O153" s="644"/>
      <c r="P153" s="644"/>
      <c r="Q153" s="644"/>
      <c r="R153" s="644"/>
      <c r="S153" s="644"/>
      <c r="T153" s="644"/>
      <c r="U153" s="644"/>
      <c r="V153" s="644"/>
      <c r="W153" s="644"/>
      <c r="X153" s="644"/>
      <c r="Y153" s="644"/>
      <c r="Z153" s="644"/>
      <c r="AA153" s="644"/>
      <c r="AB153" s="644"/>
      <c r="AC153" s="644"/>
      <c r="AD153" s="644"/>
    </row>
    <row r="154" spans="1:30" ht="9" customHeight="1">
      <c r="A154" s="644" t="s">
        <v>1595</v>
      </c>
      <c r="B154" s="644"/>
      <c r="C154" s="642"/>
      <c r="D154" s="642"/>
      <c r="E154" s="642"/>
      <c r="F154" s="642"/>
      <c r="G154" s="642"/>
      <c r="H154" s="642"/>
      <c r="I154" s="642"/>
      <c r="J154" s="642"/>
      <c r="K154" s="642"/>
      <c r="L154" s="642"/>
      <c r="M154" s="642"/>
      <c r="N154" s="642"/>
      <c r="O154" s="642"/>
      <c r="P154" s="642"/>
      <c r="Q154" s="642"/>
      <c r="R154" s="642"/>
      <c r="S154" s="642"/>
      <c r="T154" s="642"/>
      <c r="U154" s="642"/>
      <c r="V154" s="642"/>
      <c r="W154" s="642"/>
      <c r="X154" s="642"/>
      <c r="Y154" s="784"/>
      <c r="Z154" s="645"/>
      <c r="AA154" s="648"/>
      <c r="AB154" s="645"/>
      <c r="AC154" s="645"/>
      <c r="AD154" s="64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I4" workbookViewId="0"/>
  </sheetViews>
  <sheetFormatPr defaultColWidth="10.5703125" defaultRowHeight="14.25" customHeight="1"/>
  <cols>
    <col min="1" max="1" width="10.5703125" style="1687" hidden="1"/>
    <col min="2" max="2" width="11" style="1687" hidden="1" customWidth="1"/>
    <col min="3" max="3" width="10.5703125" style="1687" hidden="1"/>
    <col min="4" max="4" width="11.85546875" style="1687" hidden="1" customWidth="1"/>
    <col min="5" max="5" width="12.28515625" style="1687" hidden="1" customWidth="1"/>
    <col min="6" max="8" width="12.28515625" style="1689" hidden="1" customWidth="1"/>
    <col min="9" max="9" width="3.7109375" style="1850" customWidth="1"/>
    <col min="10" max="11" width="3.7109375" style="1695" customWidth="1"/>
    <col min="12" max="12" width="12.7109375" style="1696" customWidth="1"/>
    <col min="13" max="13" width="32" style="1661" customWidth="1"/>
    <col min="14" max="14" width="1.7109375" style="1661" customWidth="1"/>
    <col min="15" max="18" width="24.7109375" style="1661" customWidth="1"/>
    <col min="19" max="19" width="11.7109375" style="1661" customWidth="1"/>
    <col min="20" max="20" width="3.7109375" style="1661" customWidth="1"/>
    <col min="21" max="21" width="11.7109375" style="1661" customWidth="1"/>
    <col min="22" max="22" width="8.5703125" style="1661" customWidth="1"/>
    <col min="23" max="23" width="4.7109375" style="1661" customWidth="1"/>
    <col min="24" max="24" width="115.7109375" style="1661" customWidth="1"/>
    <col min="25" max="26" width="10.5703125" style="1622"/>
    <col min="27" max="27" width="11.140625" style="1622" customWidth="1"/>
    <col min="28" max="29" width="10.5703125" style="1622"/>
  </cols>
  <sheetData>
    <row r="1" spans="1:29" ht="14.25" hidden="1" customHeight="1">
      <c r="R1" s="210"/>
      <c r="S1" s="210"/>
    </row>
    <row r="2" spans="1:29" ht="14.25" hidden="1" customHeight="1">
      <c r="V2" s="210"/>
    </row>
    <row r="3" spans="1:29" ht="14.25" hidden="1" customHeight="1"/>
    <row r="4" spans="1:29" ht="14.25" customHeight="1">
      <c r="J4" s="261"/>
      <c r="K4" s="261"/>
      <c r="L4" s="1059"/>
      <c r="M4" s="246"/>
      <c r="N4" s="246"/>
      <c r="O4" s="377"/>
      <c r="P4" s="377"/>
      <c r="Q4" s="377"/>
      <c r="R4" s="377"/>
      <c r="S4" s="377"/>
      <c r="T4" s="377"/>
      <c r="U4" s="377"/>
      <c r="V4" s="377"/>
    </row>
    <row r="5" spans="1:29" ht="64.5" customHeight="1">
      <c r="J5" s="261"/>
      <c r="K5" s="261"/>
      <c r="L5" s="2392" t="s">
        <v>2061</v>
      </c>
      <c r="M5" s="2392"/>
      <c r="N5" s="2392"/>
      <c r="O5" s="2392"/>
      <c r="P5" s="2392"/>
      <c r="Q5" s="2392"/>
      <c r="R5" s="2392"/>
      <c r="S5" s="2392"/>
      <c r="T5" s="2392"/>
      <c r="U5" s="2392"/>
      <c r="V5" s="1019"/>
    </row>
    <row r="6" spans="1:29" ht="14.25" customHeight="1">
      <c r="J6" s="261"/>
      <c r="K6" s="261"/>
      <c r="L6" s="2393" t="e">
        <f>IF(org=0,"Не определено",org)</f>
        <v>#REF!</v>
      </c>
      <c r="M6" s="2393"/>
      <c r="N6" s="2393"/>
      <c r="O6" s="2393"/>
      <c r="P6" s="2393"/>
      <c r="Q6" s="2393"/>
      <c r="R6" s="2393"/>
      <c r="S6" s="2393"/>
      <c r="T6" s="2393"/>
      <c r="U6" s="2393"/>
      <c r="V6" s="1019"/>
    </row>
    <row r="7" spans="1:29" ht="14.25" customHeight="1">
      <c r="J7" s="261"/>
      <c r="K7" s="261"/>
      <c r="L7" s="1059"/>
      <c r="M7" s="246"/>
      <c r="N7" s="246"/>
      <c r="O7" s="203"/>
      <c r="P7" s="203"/>
      <c r="Q7" s="203"/>
      <c r="R7" s="203"/>
      <c r="S7" s="203"/>
      <c r="T7" s="203"/>
      <c r="U7" s="203"/>
      <c r="V7" s="203"/>
      <c r="W7" s="377"/>
    </row>
    <row r="8" spans="1:29" s="1692" customFormat="1" ht="45" customHeight="1">
      <c r="A8" s="1148"/>
      <c r="B8" s="1148"/>
      <c r="C8" s="1148"/>
      <c r="D8" s="1148"/>
      <c r="E8" s="1148"/>
      <c r="F8" s="1148"/>
      <c r="G8" s="1148"/>
      <c r="H8" s="1148"/>
      <c r="L8" s="1060"/>
      <c r="M8" s="170" t="s">
        <v>6</v>
      </c>
      <c r="N8" s="179"/>
      <c r="O8" s="2103" t="e">
        <f>IF(TITLE_NAME_OR_PR_CHANGE="",IF(TITLE_NAME_OR_PR="","",TITLE_NAME_OR_PR),TITLE_NAME_OR_PR_CHANGE)</f>
        <v>#REF!</v>
      </c>
      <c r="P8" s="2103"/>
      <c r="Q8" s="2103"/>
      <c r="R8" s="2103"/>
      <c r="S8" s="2103"/>
      <c r="T8" s="2103"/>
      <c r="U8" s="2103"/>
      <c r="V8" s="209"/>
      <c r="W8" s="209"/>
      <c r="X8" s="157"/>
      <c r="Y8" s="252"/>
      <c r="Z8" s="252"/>
      <c r="AA8" s="252"/>
      <c r="AB8" s="252"/>
      <c r="AC8" s="252"/>
    </row>
    <row r="9" spans="1:29" s="1692" customFormat="1" ht="22.5" customHeight="1">
      <c r="A9" s="1148"/>
      <c r="B9" s="1148"/>
      <c r="C9" s="1148"/>
      <c r="D9" s="1148"/>
      <c r="E9" s="1148"/>
      <c r="F9" s="1148"/>
      <c r="G9" s="1148"/>
      <c r="H9" s="1148"/>
      <c r="L9" s="1060"/>
      <c r="M9" s="170" t="s">
        <v>349</v>
      </c>
      <c r="N9" s="179"/>
      <c r="O9" s="2103" t="e">
        <f>IF(TITLE_DATE_CHANGE_PERIOD="",IF(TITLE_DATE_PR="","",TITLE_DATE_PR),TITLE_DATE_CHANGE_PERIOD)</f>
        <v>#REF!</v>
      </c>
      <c r="P9" s="2103"/>
      <c r="Q9" s="2103"/>
      <c r="R9" s="2103"/>
      <c r="S9" s="2103"/>
      <c r="T9" s="2103"/>
      <c r="U9" s="2103"/>
      <c r="V9" s="209"/>
      <c r="W9" s="209"/>
      <c r="X9" s="157"/>
      <c r="Y9" s="252"/>
      <c r="Z9" s="252"/>
      <c r="AA9" s="252"/>
      <c r="AB9" s="252"/>
      <c r="AC9" s="252"/>
    </row>
    <row r="10" spans="1:29" s="1692" customFormat="1" ht="22.5" customHeight="1">
      <c r="A10" s="1148"/>
      <c r="B10" s="1148"/>
      <c r="C10" s="1148"/>
      <c r="D10" s="1148"/>
      <c r="E10" s="1148"/>
      <c r="F10" s="1148"/>
      <c r="G10" s="1148"/>
      <c r="H10" s="1148"/>
      <c r="L10" s="1027"/>
      <c r="M10" s="170" t="s">
        <v>350</v>
      </c>
      <c r="N10" s="179"/>
      <c r="O10" s="2103" t="e">
        <f>IF(TITLE_NUMBER_PR_CHANGE="",IF(TITLE_NUMBER_PR="","",TITLE_NUMBER_PR),TITLE_NUMBER_PR_CHANGE)</f>
        <v>#REF!</v>
      </c>
      <c r="P10" s="2103"/>
      <c r="Q10" s="2103"/>
      <c r="R10" s="2103"/>
      <c r="S10" s="2103"/>
      <c r="T10" s="2103"/>
      <c r="U10" s="2103"/>
      <c r="V10" s="209"/>
      <c r="W10" s="209"/>
      <c r="X10" s="157"/>
      <c r="Y10" s="252"/>
      <c r="Z10" s="252"/>
      <c r="AA10" s="252"/>
      <c r="AB10" s="252"/>
      <c r="AC10" s="252"/>
    </row>
    <row r="11" spans="1:29" s="1692" customFormat="1" ht="22.5" customHeight="1">
      <c r="A11" s="1148"/>
      <c r="B11" s="1148"/>
      <c r="C11" s="1148"/>
      <c r="D11" s="1148"/>
      <c r="E11" s="1148"/>
      <c r="F11" s="1148"/>
      <c r="G11" s="1148"/>
      <c r="H11" s="1148"/>
      <c r="L11" s="1027"/>
      <c r="M11" s="170" t="s">
        <v>7</v>
      </c>
      <c r="N11" s="179"/>
      <c r="O11" s="2103" t="e">
        <f>IF(TITLE_IST_PUB_CHANGE="",IF(TITLE_IST_PUB="","",TITLE_IST_PUB),TITLE_IST_PUB_CHANGE)</f>
        <v>#REF!</v>
      </c>
      <c r="P11" s="2103"/>
      <c r="Q11" s="2103"/>
      <c r="R11" s="2103"/>
      <c r="S11" s="2103"/>
      <c r="T11" s="2103"/>
      <c r="U11" s="2103"/>
      <c r="V11" s="209"/>
      <c r="W11" s="209"/>
      <c r="X11" s="157"/>
      <c r="Y11" s="252"/>
      <c r="Z11" s="252"/>
      <c r="AA11" s="252"/>
      <c r="AB11" s="252"/>
      <c r="AC11" s="252"/>
    </row>
    <row r="12" spans="1:29" s="1692" customFormat="1" ht="11.25" hidden="1" customHeight="1">
      <c r="A12" s="1148"/>
      <c r="B12" s="1148"/>
      <c r="C12" s="1148"/>
      <c r="D12" s="1148"/>
      <c r="E12" s="1148"/>
      <c r="F12" s="1148"/>
      <c r="G12" s="1148"/>
      <c r="H12" s="1148"/>
      <c r="L12" s="2391"/>
      <c r="M12" s="2391"/>
      <c r="N12" s="1070"/>
      <c r="O12" s="209"/>
      <c r="P12" s="209"/>
      <c r="Q12" s="209"/>
      <c r="R12" s="209"/>
      <c r="S12" s="209"/>
      <c r="T12" s="209"/>
      <c r="U12" s="209"/>
      <c r="V12" s="155" t="s">
        <v>353</v>
      </c>
      <c r="Y12" s="252"/>
      <c r="Z12" s="252"/>
      <c r="AA12" s="252"/>
      <c r="AB12" s="252"/>
      <c r="AC12" s="252"/>
    </row>
    <row r="13" spans="1:29" ht="14.25" customHeight="1">
      <c r="J13" s="261"/>
      <c r="K13" s="261"/>
      <c r="L13" s="1059"/>
      <c r="M13" s="246"/>
      <c r="N13" s="1020"/>
      <c r="O13" s="2123"/>
      <c r="P13" s="2123"/>
      <c r="Q13" s="2123"/>
      <c r="R13" s="2123"/>
      <c r="S13" s="2123"/>
      <c r="T13" s="2123"/>
      <c r="U13" s="2123"/>
      <c r="V13" s="2123"/>
    </row>
    <row r="14" spans="1:29" ht="14.25" customHeight="1">
      <c r="J14" s="261"/>
      <c r="K14" s="261"/>
      <c r="L14" s="2025" t="s">
        <v>224</v>
      </c>
      <c r="M14" s="2025"/>
      <c r="N14" s="2025"/>
      <c r="O14" s="2025"/>
      <c r="P14" s="2025"/>
      <c r="Q14" s="2025"/>
      <c r="R14" s="2025"/>
      <c r="S14" s="2025"/>
      <c r="T14" s="2025"/>
      <c r="U14" s="2025"/>
      <c r="V14" s="2025"/>
      <c r="W14" s="2025"/>
      <c r="X14" s="2025" t="s">
        <v>225</v>
      </c>
    </row>
    <row r="15" spans="1:29" ht="14.25" customHeight="1">
      <c r="J15" s="261"/>
      <c r="K15" s="261"/>
      <c r="L15" s="2124" t="s">
        <v>22</v>
      </c>
      <c r="M15" s="2068" t="s">
        <v>354</v>
      </c>
      <c r="N15" s="176"/>
      <c r="O15" s="2125" t="s">
        <v>2062</v>
      </c>
      <c r="P15" s="2126"/>
      <c r="Q15" s="2126"/>
      <c r="R15" s="2126"/>
      <c r="S15" s="2126"/>
      <c r="T15" s="2126"/>
      <c r="U15" s="2127"/>
      <c r="V15" s="2128" t="s">
        <v>356</v>
      </c>
      <c r="W15" s="2131" t="s">
        <v>980</v>
      </c>
      <c r="X15" s="2025"/>
    </row>
    <row r="16" spans="1:29" ht="33.75" customHeight="1">
      <c r="J16" s="261"/>
      <c r="K16" s="261"/>
      <c r="L16" s="2124"/>
      <c r="M16" s="2068"/>
      <c r="N16" s="814"/>
      <c r="O16" s="2036" t="s">
        <v>359</v>
      </c>
      <c r="P16" s="2036" t="s">
        <v>360</v>
      </c>
      <c r="Q16" s="1956" t="s">
        <v>361</v>
      </c>
      <c r="R16" s="1958"/>
      <c r="S16" s="1956" t="s">
        <v>375</v>
      </c>
      <c r="T16" s="1957"/>
      <c r="U16" s="1958"/>
      <c r="V16" s="2129"/>
      <c r="W16" s="2132"/>
      <c r="X16" s="2025"/>
    </row>
    <row r="17" spans="1:29" ht="33.75" customHeight="1">
      <c r="A17" s="1150" t="s">
        <v>72</v>
      </c>
      <c r="B17" s="1150" t="s">
        <v>73</v>
      </c>
      <c r="C17" s="1150" t="s">
        <v>74</v>
      </c>
      <c r="D17" s="1150" t="s">
        <v>75</v>
      </c>
      <c r="E17" s="1150"/>
      <c r="J17" s="261"/>
      <c r="K17" s="261"/>
      <c r="L17" s="2124"/>
      <c r="M17" s="2068"/>
      <c r="N17" s="177"/>
      <c r="O17" s="2093"/>
      <c r="P17" s="2093"/>
      <c r="Q17" s="995" t="s">
        <v>370</v>
      </c>
      <c r="R17" s="995" t="s">
        <v>371</v>
      </c>
      <c r="S17" s="1075" t="s">
        <v>372</v>
      </c>
      <c r="T17" s="2073" t="s">
        <v>373</v>
      </c>
      <c r="U17" s="2087"/>
      <c r="V17" s="2130"/>
      <c r="W17" s="2133"/>
      <c r="X17" s="2025"/>
    </row>
    <row r="18" spans="1:29" s="1621" customFormat="1" ht="11.25" customHeight="1">
      <c r="A18" s="1150"/>
      <c r="B18" s="1150"/>
      <c r="C18" s="1150"/>
      <c r="D18" s="1150"/>
      <c r="E18" s="1150"/>
      <c r="F18" s="1142"/>
      <c r="G18" s="1142"/>
      <c r="H18" s="1142"/>
      <c r="I18" s="1022"/>
      <c r="J18" s="1023"/>
      <c r="K18" s="1038">
        <v>1</v>
      </c>
      <c r="L18" s="1061" t="s">
        <v>43</v>
      </c>
      <c r="M18" s="1039" t="s">
        <v>44</v>
      </c>
      <c r="N18" s="1021" t="str">
        <f ca="1">OFFSET(N18,0,-1)</f>
        <v>2</v>
      </c>
      <c r="O18" s="1072">
        <f ca="1">OFFSET(O18,0,-1)+1</f>
        <v>3</v>
      </c>
      <c r="P18" s="1072"/>
      <c r="Q18" s="1072">
        <f ca="1">OFFSET(Q18,0,-1)+1</f>
        <v>1</v>
      </c>
      <c r="R18" s="1072">
        <f ca="1">OFFSET(R18,0,-1)+1</f>
        <v>2</v>
      </c>
      <c r="S18" s="1072">
        <f ca="1">OFFSET(S18,0,-1)+1</f>
        <v>3</v>
      </c>
      <c r="T18" s="2122">
        <f ca="1">OFFSET(T18,0,-1)+1</f>
        <v>4</v>
      </c>
      <c r="U18" s="2122"/>
      <c r="V18" s="1072">
        <f ca="1">OFFSET(V18,0,-2)+1</f>
        <v>5</v>
      </c>
      <c r="W18" s="1021">
        <f ca="1">OFFSET(W18,0,-1)</f>
        <v>5</v>
      </c>
      <c r="X18" s="1072">
        <f ca="1">OFFSET(X18,0,-1)+1</f>
        <v>6</v>
      </c>
      <c r="Y18" s="379"/>
      <c r="Z18" s="379"/>
      <c r="AA18" s="379"/>
      <c r="AB18" s="379"/>
      <c r="AC18" s="379"/>
    </row>
    <row r="19" spans="1:29" ht="21" customHeight="1">
      <c r="A19" s="1143" t="s">
        <v>106</v>
      </c>
      <c r="B19" s="1143" t="s">
        <v>107</v>
      </c>
      <c r="C19" s="1143" t="s">
        <v>108</v>
      </c>
      <c r="D19" s="1143" t="s">
        <v>109</v>
      </c>
      <c r="E19" s="1143"/>
      <c r="F19" s="1145"/>
      <c r="G19" s="1145"/>
      <c r="H19" s="1145"/>
      <c r="I19" s="242"/>
      <c r="J19" s="241"/>
      <c r="K19" s="236"/>
      <c r="L19" s="1076">
        <f>INDEX(PT_DIFFERENTIATION_NUM_NTAR,MATCH(A19,PT_DIFFERENTIATION_NTAR_ID,0))</f>
        <v>0</v>
      </c>
      <c r="M19" s="173" t="s">
        <v>61</v>
      </c>
      <c r="N19" s="175"/>
      <c r="O19" s="2386" t="str">
        <f>INDEX(PT_DIFFERENTIATION_NTAR,MATCH(A19,PT_DIFFERENTIATION_NTAR_ID,0))</f>
        <v/>
      </c>
      <c r="P19" s="2386"/>
      <c r="Q19" s="2386"/>
      <c r="R19" s="2386"/>
      <c r="S19" s="2386"/>
      <c r="T19" s="2386"/>
      <c r="U19" s="2386"/>
      <c r="V19" s="2386"/>
      <c r="W19" s="2386"/>
      <c r="X19" s="1044" t="s">
        <v>322</v>
      </c>
      <c r="Z19" s="368"/>
      <c r="AA19" s="368" t="str">
        <f t="shared" ref="AA19:AA32" si="0">IF(M19="","",M19)</f>
        <v>Наименование тарифа</v>
      </c>
      <c r="AB19" s="368"/>
      <c r="AC19" s="368"/>
    </row>
    <row r="20" spans="1:29" ht="21" customHeight="1">
      <c r="A20" s="1143" t="s">
        <v>106</v>
      </c>
      <c r="B20" s="1143" t="s">
        <v>107</v>
      </c>
      <c r="C20" s="1143" t="s">
        <v>108</v>
      </c>
      <c r="D20" s="1143" t="s">
        <v>109</v>
      </c>
      <c r="E20" s="1143"/>
      <c r="F20" s="1145"/>
      <c r="G20" s="1145"/>
      <c r="H20" s="1145"/>
      <c r="I20" s="1073"/>
      <c r="J20" s="233"/>
      <c r="K20" s="234"/>
      <c r="L20" s="1076" t="str">
        <f>INDEX(PT_DIFFERENTIATION_NUM_TER,MATCH(B19,PT_DIFFERENTIATION_TER_ID,0))</f>
        <v>.</v>
      </c>
      <c r="M20" s="185" t="s">
        <v>323</v>
      </c>
      <c r="N20" s="175"/>
      <c r="O20" s="2386" t="str">
        <f>INDEX(PT_DIFFERENTIATION_TER,MATCH(B19,PT_DIFFERENTIATION_TER_ID,0))</f>
        <v/>
      </c>
      <c r="P20" s="2386"/>
      <c r="Q20" s="2386"/>
      <c r="R20" s="2386"/>
      <c r="S20" s="2386"/>
      <c r="T20" s="2386"/>
      <c r="U20" s="2386"/>
      <c r="V20" s="2386"/>
      <c r="W20" s="2386"/>
      <c r="X20" s="1044" t="s">
        <v>324</v>
      </c>
      <c r="Z20" s="368"/>
      <c r="AA20" s="368" t="str">
        <f t="shared" si="0"/>
        <v>Территория действия тарифа</v>
      </c>
      <c r="AB20" s="368"/>
      <c r="AC20" s="368"/>
    </row>
    <row r="21" spans="1:29" ht="22.5" customHeight="1">
      <c r="A21" s="1143" t="s">
        <v>106</v>
      </c>
      <c r="B21" s="1143" t="s">
        <v>107</v>
      </c>
      <c r="C21" s="1143" t="s">
        <v>108</v>
      </c>
      <c r="D21" s="1143" t="s">
        <v>109</v>
      </c>
      <c r="E21" s="1143"/>
      <c r="F21" s="1145"/>
      <c r="G21" s="1145"/>
      <c r="H21" s="1145"/>
      <c r="I21" s="235"/>
      <c r="J21" s="233"/>
      <c r="K21" s="234"/>
      <c r="L21" s="1076" t="str">
        <f>INDEX(PT_DIFFERENTIATION_NUM_CS,MATCH(C19,PT_DIFFERENTIATION_CS_ID,0))</f>
        <v>..</v>
      </c>
      <c r="M21" s="186" t="s">
        <v>325</v>
      </c>
      <c r="N21" s="175"/>
      <c r="O21" s="2386" t="str">
        <f>INDEX(PT_DIFFERENTIATION_CS,MATCH(C19,PT_DIFFERENTIATION_CS_ID,0))</f>
        <v/>
      </c>
      <c r="P21" s="2386"/>
      <c r="Q21" s="2386"/>
      <c r="R21" s="2386"/>
      <c r="S21" s="2386"/>
      <c r="T21" s="2386"/>
      <c r="U21" s="2386"/>
      <c r="V21" s="2386"/>
      <c r="W21" s="2386"/>
      <c r="X21" s="1044" t="s">
        <v>326</v>
      </c>
      <c r="Z21" s="368"/>
      <c r="AA21" s="368" t="str">
        <f t="shared" si="0"/>
        <v xml:space="preserve">Наименование системы теплоснабжения </v>
      </c>
      <c r="AB21" s="368"/>
      <c r="AC21" s="368"/>
    </row>
    <row r="22" spans="1:29" ht="21" customHeight="1">
      <c r="A22" s="1143" t="s">
        <v>106</v>
      </c>
      <c r="B22" s="1143" t="s">
        <v>107</v>
      </c>
      <c r="C22" s="1143" t="s">
        <v>108</v>
      </c>
      <c r="D22" s="1143" t="s">
        <v>109</v>
      </c>
      <c r="E22" s="1143"/>
      <c r="F22" s="1145"/>
      <c r="G22" s="1145"/>
      <c r="H22" s="1145"/>
      <c r="I22" s="235"/>
      <c r="J22" s="233"/>
      <c r="K22" s="234"/>
      <c r="L22" s="1076" t="str">
        <f>INDEX(PT_DIFFERENTIATION_NUM_IST_TE,MATCH(D19,PT_DIFFERENTIATION_IST_TE_ID,0))</f>
        <v>...</v>
      </c>
      <c r="M22" s="187" t="s">
        <v>327</v>
      </c>
      <c r="N22" s="175"/>
      <c r="O22" s="2386" t="str">
        <f>INDEX(PT_DIFFERENTIATION_IST_TE,MATCH(D19,PT_DIFFERENTIATION_IST_TE_ID,0))</f>
        <v/>
      </c>
      <c r="P22" s="2386"/>
      <c r="Q22" s="2386"/>
      <c r="R22" s="2386"/>
      <c r="S22" s="2386"/>
      <c r="T22" s="2386"/>
      <c r="U22" s="2386"/>
      <c r="V22" s="2386"/>
      <c r="W22" s="2386"/>
      <c r="X22" s="1044" t="s">
        <v>328</v>
      </c>
      <c r="Z22" s="368"/>
      <c r="AA22" s="368" t="str">
        <f t="shared" si="0"/>
        <v xml:space="preserve">Источник тепловой энергии  </v>
      </c>
      <c r="AB22" s="368"/>
      <c r="AC22" s="368"/>
    </row>
    <row r="23" spans="1:29" ht="94.5" customHeight="1">
      <c r="A23" s="1143" t="s">
        <v>106</v>
      </c>
      <c r="B23" s="1143" t="s">
        <v>107</v>
      </c>
      <c r="C23" s="1143" t="s">
        <v>108</v>
      </c>
      <c r="D23" s="1143" t="s">
        <v>109</v>
      </c>
      <c r="E23" s="1143"/>
      <c r="F23" s="2085" t="str">
        <f>L22&amp;".1"</f>
        <v>....1</v>
      </c>
      <c r="I23" s="2115">
        <v>1</v>
      </c>
      <c r="J23" s="1074"/>
      <c r="K23" s="237"/>
      <c r="L23" s="1076" t="str">
        <f>$F$23</f>
        <v>....1</v>
      </c>
      <c r="M23" s="161" t="s">
        <v>330</v>
      </c>
      <c r="N23" s="175"/>
      <c r="O23" s="2387"/>
      <c r="P23" s="2387"/>
      <c r="Q23" s="2387"/>
      <c r="R23" s="2387"/>
      <c r="S23" s="2387"/>
      <c r="T23" s="2387"/>
      <c r="U23" s="2387"/>
      <c r="V23" s="2387"/>
      <c r="W23" s="2387"/>
      <c r="X23" s="1044" t="s">
        <v>331</v>
      </c>
      <c r="Z23" s="368"/>
      <c r="AA23" s="368" t="str">
        <f t="shared" si="0"/>
        <v>Схема подключения теплопотребляющей установки к коллектору источника тепловой энергии</v>
      </c>
      <c r="AB23" s="368"/>
      <c r="AC23" s="368"/>
    </row>
    <row r="24" spans="1:29" ht="84" customHeight="1">
      <c r="A24" s="1143" t="s">
        <v>106</v>
      </c>
      <c r="B24" s="1143" t="s">
        <v>107</v>
      </c>
      <c r="C24" s="1143" t="s">
        <v>108</v>
      </c>
      <c r="D24" s="1143" t="s">
        <v>109</v>
      </c>
      <c r="E24" s="1143"/>
      <c r="F24" s="2085"/>
      <c r="G24" s="2085" t="str">
        <f>F23&amp;".1"</f>
        <v>....1.1</v>
      </c>
      <c r="I24" s="2115"/>
      <c r="J24" s="2115">
        <v>1</v>
      </c>
      <c r="K24" s="238"/>
      <c r="L24" s="1076" t="str">
        <f>$G$24</f>
        <v>....1.1</v>
      </c>
      <c r="M24" s="162" t="s">
        <v>333</v>
      </c>
      <c r="N24" s="175"/>
      <c r="O24" s="2388"/>
      <c r="P24" s="2389"/>
      <c r="Q24" s="2389"/>
      <c r="R24" s="2389"/>
      <c r="S24" s="2389"/>
      <c r="T24" s="2389"/>
      <c r="U24" s="2389"/>
      <c r="V24" s="2389"/>
      <c r="W24" s="2390"/>
      <c r="X24" s="1044" t="s">
        <v>334</v>
      </c>
      <c r="Z24" s="368"/>
      <c r="AA24" s="368" t="str">
        <f t="shared" si="0"/>
        <v>Группа потребителей</v>
      </c>
      <c r="AB24" s="368"/>
      <c r="AC24" s="368"/>
    </row>
    <row r="25" spans="1:29" ht="11.25" customHeight="1">
      <c r="A25" s="1143" t="s">
        <v>106</v>
      </c>
      <c r="B25" s="1143" t="s">
        <v>107</v>
      </c>
      <c r="C25" s="1143" t="s">
        <v>108</v>
      </c>
      <c r="D25" s="1143" t="s">
        <v>109</v>
      </c>
      <c r="E25" s="1143"/>
      <c r="F25" s="2085"/>
      <c r="G25" s="2085"/>
      <c r="H25" s="2085" t="str">
        <f>G24&amp;".1"</f>
        <v>....1.1.1</v>
      </c>
      <c r="I25" s="2115"/>
      <c r="J25" s="2115"/>
      <c r="K25" s="238">
        <v>1</v>
      </c>
      <c r="L25" s="1076" t="str">
        <f>$H$25</f>
        <v>....1.1.1</v>
      </c>
      <c r="M25" s="1045"/>
      <c r="N25" s="175"/>
      <c r="O25" s="576"/>
      <c r="P25" s="207"/>
      <c r="Q25" s="576"/>
      <c r="R25" s="1043"/>
      <c r="S25" s="2116"/>
      <c r="T25" s="2109" t="s">
        <v>16</v>
      </c>
      <c r="U25" s="2116"/>
      <c r="V25" s="2109" t="s">
        <v>15</v>
      </c>
      <c r="W25" s="207"/>
      <c r="X25" s="2134" t="s">
        <v>336</v>
      </c>
      <c r="Y25" s="379" t="e">
        <f ca="1">STRCHECKDATE(O26:W26)</f>
        <v>#NAME?</v>
      </c>
      <c r="Z25" s="368"/>
      <c r="AA25" s="368" t="str">
        <f t="shared" si="0"/>
        <v/>
      </c>
      <c r="AB25" s="368"/>
      <c r="AC25" s="368"/>
    </row>
    <row r="26" spans="1:29" ht="11.25" customHeight="1">
      <c r="A26" s="1143" t="s">
        <v>106</v>
      </c>
      <c r="B26" s="1143" t="s">
        <v>107</v>
      </c>
      <c r="C26" s="1143" t="s">
        <v>108</v>
      </c>
      <c r="D26" s="1143" t="s">
        <v>109</v>
      </c>
      <c r="E26" s="1143"/>
      <c r="F26" s="2085"/>
      <c r="G26" s="2085"/>
      <c r="H26" s="2085"/>
      <c r="I26" s="2115"/>
      <c r="J26" s="2115"/>
      <c r="K26" s="238"/>
      <c r="L26" s="1077"/>
      <c r="M26" s="175"/>
      <c r="N26" s="175"/>
      <c r="O26" s="207"/>
      <c r="P26" s="207"/>
      <c r="Q26" s="207"/>
      <c r="R26" s="211" t="str">
        <f>S25&amp;"-"&amp;U25</f>
        <v>-</v>
      </c>
      <c r="S26" s="2117"/>
      <c r="T26" s="2109"/>
      <c r="U26" s="2117"/>
      <c r="V26" s="2109"/>
      <c r="W26" s="207"/>
      <c r="X26" s="2135"/>
      <c r="Z26" s="368"/>
      <c r="AA26" s="368" t="str">
        <f t="shared" si="0"/>
        <v/>
      </c>
      <c r="AB26" s="368"/>
      <c r="AC26" s="368"/>
    </row>
    <row r="27" spans="1:29" ht="15" customHeight="1">
      <c r="A27" s="1143" t="s">
        <v>106</v>
      </c>
      <c r="B27" s="1143" t="s">
        <v>107</v>
      </c>
      <c r="C27" s="1143" t="s">
        <v>108</v>
      </c>
      <c r="D27" s="1143" t="s">
        <v>109</v>
      </c>
      <c r="E27" s="1143"/>
      <c r="F27" s="2085"/>
      <c r="G27" s="2085"/>
      <c r="I27" s="2115"/>
      <c r="J27" s="2115"/>
      <c r="K27" s="237"/>
      <c r="L27" s="1062"/>
      <c r="M27" s="164" t="s">
        <v>337</v>
      </c>
      <c r="N27" s="251"/>
      <c r="O27" s="251"/>
      <c r="P27" s="251"/>
      <c r="Q27" s="251"/>
      <c r="R27" s="251"/>
      <c r="S27" s="251"/>
      <c r="T27" s="251"/>
      <c r="U27" s="251"/>
      <c r="V27" s="251"/>
      <c r="W27" s="206"/>
      <c r="X27" s="2136"/>
      <c r="Z27" s="368"/>
      <c r="AA27" s="368" t="str">
        <f t="shared" si="0"/>
        <v>Добавить вид теплоносителя (параметры теплоносителя)</v>
      </c>
      <c r="AB27" s="368"/>
      <c r="AC27" s="368"/>
    </row>
    <row r="28" spans="1:29" ht="15" customHeight="1">
      <c r="A28" s="1143" t="s">
        <v>106</v>
      </c>
      <c r="B28" s="1143" t="s">
        <v>107</v>
      </c>
      <c r="C28" s="1143" t="s">
        <v>108</v>
      </c>
      <c r="D28" s="1143" t="s">
        <v>109</v>
      </c>
      <c r="E28" s="1143"/>
      <c r="F28" s="2085"/>
      <c r="I28" s="2115"/>
      <c r="J28" s="1074"/>
      <c r="K28" s="237"/>
      <c r="L28" s="1062"/>
      <c r="M28" s="163" t="s">
        <v>338</v>
      </c>
      <c r="N28" s="251"/>
      <c r="O28" s="251"/>
      <c r="P28" s="251"/>
      <c r="Q28" s="251"/>
      <c r="R28" s="251"/>
      <c r="S28" s="251"/>
      <c r="T28" s="251"/>
      <c r="U28" s="251"/>
      <c r="V28" s="250"/>
      <c r="W28" s="251"/>
      <c r="X28" s="178"/>
      <c r="Z28" s="368"/>
      <c r="AA28" s="368" t="str">
        <f t="shared" si="0"/>
        <v>Добавить группу потребителей</v>
      </c>
      <c r="AB28" s="368"/>
      <c r="AC28" s="368"/>
    </row>
    <row r="29" spans="1:29" ht="14.25" customHeight="1">
      <c r="A29" s="1143" t="s">
        <v>106</v>
      </c>
      <c r="B29" s="1143" t="s">
        <v>107</v>
      </c>
      <c r="C29" s="1143" t="s">
        <v>108</v>
      </c>
      <c r="D29" s="1143" t="s">
        <v>109</v>
      </c>
      <c r="E29" s="1143"/>
      <c r="F29" s="1145"/>
      <c r="G29" s="1145"/>
      <c r="H29" s="395"/>
      <c r="I29" s="241"/>
      <c r="J29" s="260"/>
      <c r="K29" s="236"/>
      <c r="L29" s="1062"/>
      <c r="M29" s="248" t="s">
        <v>339</v>
      </c>
      <c r="N29" s="251"/>
      <c r="O29" s="251"/>
      <c r="P29" s="251"/>
      <c r="Q29" s="251"/>
      <c r="R29" s="251"/>
      <c r="S29" s="251"/>
      <c r="T29" s="251"/>
      <c r="U29" s="251"/>
      <c r="V29" s="250"/>
      <c r="W29" s="251"/>
      <c r="X29" s="178"/>
      <c r="Z29" s="368"/>
      <c r="AA29" s="368" t="str">
        <f t="shared" si="0"/>
        <v>Добавить схему подключения</v>
      </c>
      <c r="AB29" s="368"/>
      <c r="AC29" s="368"/>
    </row>
    <row r="30" spans="1:29" ht="14.25" customHeight="1">
      <c r="A30" s="1143" t="s">
        <v>106</v>
      </c>
      <c r="B30" s="1143" t="s">
        <v>107</v>
      </c>
      <c r="C30" s="1143" t="s">
        <v>108</v>
      </c>
      <c r="D30" s="1143"/>
      <c r="E30" s="1143" t="s">
        <v>504</v>
      </c>
      <c r="F30" s="1145"/>
      <c r="G30" s="1145"/>
      <c r="H30" s="395"/>
      <c r="I30" s="241"/>
      <c r="J30" s="260"/>
      <c r="K30" s="236"/>
      <c r="L30" s="1063"/>
      <c r="M30" s="1052"/>
      <c r="N30" s="1053"/>
      <c r="O30" s="1053"/>
      <c r="P30" s="1053"/>
      <c r="Q30" s="1053"/>
      <c r="R30" s="1053"/>
      <c r="S30" s="1053"/>
      <c r="T30" s="1053"/>
      <c r="U30" s="1053"/>
      <c r="V30" s="1054"/>
      <c r="W30" s="1053"/>
      <c r="X30" s="1055"/>
      <c r="Z30" s="368"/>
      <c r="AA30" s="368" t="str">
        <f t="shared" si="0"/>
        <v/>
      </c>
      <c r="AB30" s="368"/>
      <c r="AC30" s="368"/>
    </row>
    <row r="31" spans="1:29" ht="14.25" customHeight="1">
      <c r="A31" s="1143" t="s">
        <v>106</v>
      </c>
      <c r="B31" s="1143" t="s">
        <v>107</v>
      </c>
      <c r="C31" s="1143"/>
      <c r="D31" s="1143"/>
      <c r="E31" s="1143" t="s">
        <v>2063</v>
      </c>
      <c r="F31" s="1287"/>
      <c r="G31" s="1287"/>
      <c r="H31" s="395"/>
      <c r="I31" s="239"/>
      <c r="J31" s="260"/>
      <c r="K31" s="240"/>
      <c r="L31" s="1063"/>
      <c r="M31" s="1056"/>
      <c r="N31" s="1053"/>
      <c r="O31" s="1053"/>
      <c r="P31" s="1053"/>
      <c r="Q31" s="1053"/>
      <c r="R31" s="1053"/>
      <c r="S31" s="1053"/>
      <c r="T31" s="1053"/>
      <c r="U31" s="1053"/>
      <c r="V31" s="1054"/>
      <c r="W31" s="1053"/>
      <c r="X31" s="1055"/>
      <c r="Z31" s="368"/>
      <c r="AA31" s="368" t="str">
        <f t="shared" si="0"/>
        <v/>
      </c>
      <c r="AB31" s="368"/>
      <c r="AC31" s="368"/>
    </row>
    <row r="32" spans="1:29" ht="14.25" customHeight="1">
      <c r="A32" s="1143" t="s">
        <v>2064</v>
      </c>
      <c r="B32" s="1143"/>
      <c r="C32" s="1143"/>
      <c r="D32" s="1143"/>
      <c r="E32" s="1143" t="s">
        <v>38</v>
      </c>
      <c r="F32" s="1287"/>
      <c r="G32" s="1287"/>
      <c r="H32" s="395"/>
      <c r="I32" s="241"/>
      <c r="J32" s="260"/>
      <c r="K32" s="236"/>
      <c r="L32" s="1063"/>
      <c r="M32" s="1057"/>
      <c r="N32" s="1053"/>
      <c r="O32" s="1053"/>
      <c r="P32" s="1053"/>
      <c r="Q32" s="1053"/>
      <c r="R32" s="1053"/>
      <c r="S32" s="1053"/>
      <c r="T32" s="1053"/>
      <c r="U32" s="1053"/>
      <c r="V32" s="1054"/>
      <c r="W32" s="1053"/>
      <c r="X32" s="1055"/>
      <c r="Z32" s="368"/>
      <c r="AA32" s="368" t="str">
        <f t="shared" si="0"/>
        <v/>
      </c>
      <c r="AB32" s="368"/>
      <c r="AC32" s="368"/>
    </row>
    <row r="33" spans="1:29" s="1829" customFormat="1" ht="11.25" customHeight="1">
      <c r="A33" s="1143"/>
      <c r="B33" s="1143"/>
      <c r="C33" s="1143"/>
      <c r="D33" s="1143"/>
      <c r="E33" s="1143" t="s">
        <v>374</v>
      </c>
      <c r="F33" s="1288"/>
      <c r="G33" s="1289"/>
      <c r="H33" s="395"/>
      <c r="L33" s="1064"/>
      <c r="M33" s="1058"/>
      <c r="N33" s="1053"/>
      <c r="O33" s="1053"/>
      <c r="P33" s="1053"/>
      <c r="Q33" s="1053"/>
      <c r="R33" s="1053"/>
      <c r="S33" s="1053"/>
      <c r="T33" s="1053"/>
      <c r="U33" s="1053"/>
      <c r="V33" s="1054"/>
      <c r="W33" s="1053"/>
      <c r="X33" s="1055"/>
      <c r="Y33" s="267"/>
      <c r="Z33" s="267"/>
      <c r="AA33" s="267"/>
      <c r="AB33" s="267"/>
      <c r="AC33" s="267"/>
    </row>
    <row r="34" spans="1:29" ht="11.25" customHeight="1">
      <c r="F34" s="929"/>
      <c r="G34" s="929"/>
      <c r="H34" s="395"/>
      <c r="I34" s="924"/>
      <c r="J34" s="924"/>
      <c r="K34" s="924"/>
      <c r="Y34" s="924"/>
      <c r="Z34" s="924"/>
      <c r="AA34" s="924"/>
      <c r="AB34" s="924"/>
      <c r="AC34" s="924"/>
    </row>
    <row r="35" spans="1:29" ht="27" customHeight="1">
      <c r="H35" s="395"/>
      <c r="L35" s="1071" t="s">
        <v>637</v>
      </c>
      <c r="M35" s="2110" t="s">
        <v>2065</v>
      </c>
      <c r="N35" s="2110"/>
      <c r="O35" s="2110"/>
      <c r="P35" s="2110"/>
      <c r="Q35" s="2110"/>
      <c r="R35" s="2110"/>
      <c r="S35" s="2110"/>
      <c r="T35" s="2110"/>
      <c r="U35" s="2110"/>
      <c r="V35" s="2110"/>
      <c r="W35" s="2110"/>
      <c r="X35" s="2110"/>
    </row>
    <row r="36" spans="1:29" ht="104.25" customHeight="1">
      <c r="H36" s="395"/>
      <c r="I36" s="1086"/>
      <c r="M36" s="2110" t="s">
        <v>2066</v>
      </c>
      <c r="N36" s="2110"/>
      <c r="O36" s="2110"/>
      <c r="P36" s="2110"/>
      <c r="Q36" s="2110"/>
      <c r="R36" s="2110"/>
      <c r="S36" s="2110"/>
      <c r="T36" s="2110"/>
      <c r="U36" s="2110"/>
      <c r="V36" s="2110"/>
      <c r="W36" s="2110"/>
      <c r="X36" s="2110"/>
    </row>
    <row r="37" spans="1:29" ht="14.25" customHeight="1">
      <c r="H37" s="395"/>
    </row>
    <row r="38" spans="1:29" ht="14.25" customHeight="1">
      <c r="H38" s="395"/>
    </row>
    <row r="39" spans="1:29" ht="14.25" customHeight="1">
      <c r="H39" s="395"/>
    </row>
    <row r="40" spans="1:29" ht="14.25" customHeight="1">
      <c r="H40" s="395"/>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1.5703125" style="1661" customWidth="1"/>
    <col min="2" max="2" width="10.7109375" style="1661" customWidth="1"/>
    <col min="3" max="3" width="10" style="1661" customWidth="1"/>
    <col min="4" max="4" width="12.85546875" style="1661" customWidth="1"/>
    <col min="5" max="5" width="12.28515625" style="1661" customWidth="1"/>
    <col min="6" max="8" width="12.28515625" style="1850" customWidth="1"/>
    <col min="9" max="9" width="3.7109375" style="1850" customWidth="1"/>
    <col min="10" max="11" width="3.7109375" style="1695" customWidth="1"/>
    <col min="12" max="12" width="12.7109375" style="1696" customWidth="1"/>
    <col min="13" max="13" width="32" style="1661" customWidth="1"/>
    <col min="14" max="14" width="1.7109375" style="1661" customWidth="1"/>
    <col min="15" max="18" width="24.7109375" style="1661" customWidth="1"/>
    <col min="19" max="19" width="11.7109375" style="1661" customWidth="1"/>
    <col min="20" max="20" width="3.7109375" style="1661" customWidth="1"/>
    <col min="21" max="21" width="11.7109375" style="1661" customWidth="1"/>
    <col min="22" max="22" width="8.5703125" style="1661" customWidth="1"/>
    <col min="23" max="23" width="4.7109375" style="1661" customWidth="1"/>
    <col min="24" max="24" width="115.7109375" style="1661" customWidth="1"/>
    <col min="25" max="26" width="10.5703125" style="1622"/>
    <col min="27" max="27" width="11.140625" style="1622" customWidth="1"/>
    <col min="28" max="29" width="10.5703125" style="1622"/>
  </cols>
  <sheetData>
    <row r="1" spans="6:29" ht="14.25" hidden="1" customHeight="1">
      <c r="R1" s="210"/>
      <c r="S1" s="210"/>
    </row>
    <row r="2" spans="6:29" ht="14.25" hidden="1" customHeight="1">
      <c r="V2" s="210"/>
    </row>
    <row r="3" spans="6:29" ht="14.25" hidden="1" customHeight="1"/>
    <row r="4" spans="6:29" ht="14.25" customHeight="1">
      <c r="J4" s="261"/>
      <c r="K4" s="261"/>
      <c r="L4" s="1059"/>
      <c r="M4" s="246"/>
      <c r="N4" s="246"/>
      <c r="O4" s="377"/>
      <c r="P4" s="377"/>
      <c r="Q4" s="377"/>
      <c r="R4" s="377"/>
      <c r="S4" s="377"/>
      <c r="T4" s="377"/>
      <c r="U4" s="377"/>
      <c r="V4" s="377"/>
    </row>
    <row r="5" spans="6:29" ht="64.5" customHeight="1">
      <c r="J5" s="261"/>
      <c r="K5" s="261"/>
      <c r="L5" s="2392" t="s">
        <v>2061</v>
      </c>
      <c r="M5" s="2392"/>
      <c r="N5" s="2392"/>
      <c r="O5" s="2392"/>
      <c r="P5" s="2392"/>
      <c r="Q5" s="2392"/>
      <c r="R5" s="2392"/>
      <c r="S5" s="2392"/>
      <c r="T5" s="2392"/>
      <c r="U5" s="2392"/>
      <c r="V5" s="1019"/>
    </row>
    <row r="6" spans="6:29" ht="14.25" customHeight="1">
      <c r="J6" s="261"/>
      <c r="K6" s="261"/>
      <c r="L6" s="2393" t="e">
        <f>IF(org=0,"Не определено",org)</f>
        <v>#REF!</v>
      </c>
      <c r="M6" s="2393"/>
      <c r="N6" s="2393"/>
      <c r="O6" s="2393"/>
      <c r="P6" s="2393"/>
      <c r="Q6" s="2393"/>
      <c r="R6" s="2393"/>
      <c r="S6" s="2393"/>
      <c r="T6" s="2393"/>
      <c r="U6" s="2393"/>
      <c r="V6" s="1019"/>
    </row>
    <row r="7" spans="6:29" ht="14.25" customHeight="1">
      <c r="J7" s="261"/>
      <c r="K7" s="261"/>
      <c r="L7" s="1059"/>
      <c r="M7" s="246"/>
      <c r="N7" s="246"/>
      <c r="O7" s="203"/>
      <c r="P7" s="203"/>
      <c r="Q7" s="203"/>
      <c r="R7" s="203"/>
      <c r="S7" s="203"/>
      <c r="T7" s="203"/>
      <c r="U7" s="203"/>
      <c r="V7" s="203"/>
      <c r="W7" s="377"/>
    </row>
    <row r="8" spans="6:29" s="1692" customFormat="1" ht="45" customHeight="1">
      <c r="F8" s="1025"/>
      <c r="G8" s="1025"/>
      <c r="H8" s="1025"/>
      <c r="L8" s="1060"/>
      <c r="M8" s="170" t="s">
        <v>6</v>
      </c>
      <c r="N8" s="179"/>
      <c r="O8" s="2103" t="e">
        <f>IF(TITLE_NAME_OR_PR_CHANGE="",IF(TITLE_NAME_OR_PR="","",TITLE_NAME_OR_PR),TITLE_NAME_OR_PR_CHANGE)</f>
        <v>#REF!</v>
      </c>
      <c r="P8" s="2103"/>
      <c r="Q8" s="2103"/>
      <c r="R8" s="2103"/>
      <c r="S8" s="2103"/>
      <c r="T8" s="2103"/>
      <c r="U8" s="2103"/>
      <c r="V8" s="209"/>
      <c r="W8" s="209"/>
      <c r="X8" s="157"/>
      <c r="Y8" s="252"/>
      <c r="Z8" s="252"/>
      <c r="AA8" s="252"/>
      <c r="AB8" s="252"/>
      <c r="AC8" s="252"/>
    </row>
    <row r="9" spans="6:29" s="1692" customFormat="1" ht="22.5" customHeight="1">
      <c r="F9" s="1025"/>
      <c r="G9" s="1025"/>
      <c r="H9" s="1025"/>
      <c r="L9" s="1060"/>
      <c r="M9" s="170" t="s">
        <v>349</v>
      </c>
      <c r="N9" s="179"/>
      <c r="O9" s="2103" t="e">
        <f>IF(TITLE_DATE_CHANGE_PERIOD="",IF(TITLE_DATE_PR="","",TITLE_DATE_PR),TITLE_DATE_CHANGE_PERIOD)</f>
        <v>#REF!</v>
      </c>
      <c r="P9" s="2103"/>
      <c r="Q9" s="2103"/>
      <c r="R9" s="2103"/>
      <c r="S9" s="2103"/>
      <c r="T9" s="2103"/>
      <c r="U9" s="2103"/>
      <c r="V9" s="209"/>
      <c r="W9" s="209"/>
      <c r="X9" s="157"/>
      <c r="Y9" s="252"/>
      <c r="Z9" s="252"/>
      <c r="AA9" s="252"/>
      <c r="AB9" s="252"/>
      <c r="AC9" s="252"/>
    </row>
    <row r="10" spans="6:29" s="1692" customFormat="1" ht="22.5" customHeight="1">
      <c r="F10" s="1025"/>
      <c r="G10" s="1025"/>
      <c r="H10" s="1025"/>
      <c r="L10" s="1027"/>
      <c r="M10" s="170" t="s">
        <v>350</v>
      </c>
      <c r="N10" s="179"/>
      <c r="O10" s="2103" t="e">
        <f>IF(TITLE_NUMBER_PR_CHANGE="",IF(TITLE_NUMBER_PR="","",TITLE_NUMBER_PR),TITLE_NUMBER_PR_CHANGE)</f>
        <v>#REF!</v>
      </c>
      <c r="P10" s="2103"/>
      <c r="Q10" s="2103"/>
      <c r="R10" s="2103"/>
      <c r="S10" s="2103"/>
      <c r="T10" s="2103"/>
      <c r="U10" s="2103"/>
      <c r="V10" s="209"/>
      <c r="W10" s="209"/>
      <c r="X10" s="157"/>
      <c r="Y10" s="252"/>
      <c r="Z10" s="252"/>
      <c r="AA10" s="252"/>
      <c r="AB10" s="252"/>
      <c r="AC10" s="252"/>
    </row>
    <row r="11" spans="6:29" s="1692" customFormat="1" ht="22.5" customHeight="1">
      <c r="F11" s="1025"/>
      <c r="G11" s="1025"/>
      <c r="H11" s="1025"/>
      <c r="L11" s="1027"/>
      <c r="M11" s="170" t="s">
        <v>7</v>
      </c>
      <c r="N11" s="179"/>
      <c r="O11" s="2103" t="e">
        <f>IF(TITLE_IST_PUB_CHANGE="",IF(TITLE_IST_PUB="","",TITLE_IST_PUB),TITLE_IST_PUB_CHANGE)</f>
        <v>#REF!</v>
      </c>
      <c r="P11" s="2103"/>
      <c r="Q11" s="2103"/>
      <c r="R11" s="2103"/>
      <c r="S11" s="2103"/>
      <c r="T11" s="2103"/>
      <c r="U11" s="2103"/>
      <c r="V11" s="209"/>
      <c r="W11" s="209"/>
      <c r="X11" s="157"/>
      <c r="Y11" s="252"/>
      <c r="Z11" s="252"/>
      <c r="AA11" s="252"/>
      <c r="AB11" s="252"/>
      <c r="AC11" s="252"/>
    </row>
    <row r="12" spans="6:29" s="1692" customFormat="1" ht="11.25" hidden="1" customHeight="1">
      <c r="F12" s="1025"/>
      <c r="G12" s="1025"/>
      <c r="H12" s="1025"/>
      <c r="L12" s="2391"/>
      <c r="M12" s="2391"/>
      <c r="N12" s="1070"/>
      <c r="O12" s="209"/>
      <c r="P12" s="209"/>
      <c r="Q12" s="209"/>
      <c r="R12" s="209"/>
      <c r="S12" s="209"/>
      <c r="T12" s="209"/>
      <c r="U12" s="209"/>
      <c r="V12" s="155" t="s">
        <v>353</v>
      </c>
      <c r="Y12" s="252"/>
      <c r="Z12" s="252"/>
      <c r="AA12" s="252"/>
      <c r="AB12" s="252"/>
      <c r="AC12" s="252"/>
    </row>
    <row r="13" spans="6:29" ht="14.25" customHeight="1">
      <c r="J13" s="261"/>
      <c r="K13" s="261"/>
      <c r="L13" s="1059"/>
      <c r="M13" s="246"/>
      <c r="N13" s="1020"/>
      <c r="O13" s="2123"/>
      <c r="P13" s="2123"/>
      <c r="Q13" s="2123"/>
      <c r="R13" s="2123"/>
      <c r="S13" s="2123"/>
      <c r="T13" s="2123"/>
      <c r="U13" s="2123"/>
      <c r="V13" s="2123"/>
    </row>
    <row r="14" spans="6:29" ht="14.25" customHeight="1">
      <c r="J14" s="261"/>
      <c r="K14" s="261"/>
      <c r="L14" s="2025" t="s">
        <v>224</v>
      </c>
      <c r="M14" s="2025"/>
      <c r="N14" s="2025"/>
      <c r="O14" s="2025"/>
      <c r="P14" s="2025"/>
      <c r="Q14" s="2025"/>
      <c r="R14" s="2025"/>
      <c r="S14" s="2025"/>
      <c r="T14" s="2025"/>
      <c r="U14" s="2025"/>
      <c r="V14" s="2025"/>
      <c r="W14" s="2025"/>
      <c r="X14" s="2025" t="s">
        <v>225</v>
      </c>
    </row>
    <row r="15" spans="6:29" ht="14.25" customHeight="1">
      <c r="J15" s="261"/>
      <c r="K15" s="261"/>
      <c r="L15" s="2124" t="s">
        <v>22</v>
      </c>
      <c r="M15" s="2068" t="s">
        <v>354</v>
      </c>
      <c r="N15" s="176"/>
      <c r="O15" s="2125" t="s">
        <v>2062</v>
      </c>
      <c r="P15" s="2126"/>
      <c r="Q15" s="2126"/>
      <c r="R15" s="2126"/>
      <c r="S15" s="2126"/>
      <c r="T15" s="2126"/>
      <c r="U15" s="2127"/>
      <c r="V15" s="2128" t="s">
        <v>356</v>
      </c>
      <c r="W15" s="2131" t="s">
        <v>980</v>
      </c>
      <c r="X15" s="2025"/>
    </row>
    <row r="16" spans="6:29" ht="33.75" customHeight="1">
      <c r="J16" s="261"/>
      <c r="K16" s="261"/>
      <c r="L16" s="2124"/>
      <c r="M16" s="2068"/>
      <c r="N16" s="814"/>
      <c r="O16" s="2036" t="s">
        <v>359</v>
      </c>
      <c r="P16" s="2036" t="s">
        <v>360</v>
      </c>
      <c r="Q16" s="1956" t="s">
        <v>361</v>
      </c>
      <c r="R16" s="1958"/>
      <c r="S16" s="1956" t="s">
        <v>375</v>
      </c>
      <c r="T16" s="1957"/>
      <c r="U16" s="1958"/>
      <c r="V16" s="2129"/>
      <c r="W16" s="2132"/>
      <c r="X16" s="2025"/>
    </row>
    <row r="17" spans="1:29" ht="33.75" customHeight="1">
      <c r="A17" s="1046" t="s">
        <v>72</v>
      </c>
      <c r="B17" s="1046" t="s">
        <v>73</v>
      </c>
      <c r="C17" s="1046" t="s">
        <v>74</v>
      </c>
      <c r="D17" s="1046" t="s">
        <v>75</v>
      </c>
      <c r="E17" s="1046"/>
      <c r="J17" s="261"/>
      <c r="K17" s="261"/>
      <c r="L17" s="2124"/>
      <c r="M17" s="2068"/>
      <c r="N17" s="177"/>
      <c r="O17" s="2093"/>
      <c r="P17" s="2093"/>
      <c r="Q17" s="995" t="s">
        <v>370</v>
      </c>
      <c r="R17" s="995" t="s">
        <v>371</v>
      </c>
      <c r="S17" s="1075" t="s">
        <v>372</v>
      </c>
      <c r="T17" s="2073" t="s">
        <v>373</v>
      </c>
      <c r="U17" s="2087"/>
      <c r="V17" s="2130"/>
      <c r="W17" s="2133"/>
      <c r="X17" s="2025"/>
    </row>
    <row r="18" spans="1:29" s="1621" customFormat="1" ht="11.25" customHeight="1">
      <c r="A18" s="1046"/>
      <c r="B18" s="1046"/>
      <c r="C18" s="1046"/>
      <c r="D18" s="1046"/>
      <c r="E18" s="1046"/>
      <c r="F18" s="1069"/>
      <c r="G18" s="1069"/>
      <c r="H18" s="1069"/>
      <c r="I18" s="1022"/>
      <c r="J18" s="1023"/>
      <c r="K18" s="1038">
        <v>1</v>
      </c>
      <c r="L18" s="1061" t="s">
        <v>43</v>
      </c>
      <c r="M18" s="1039" t="s">
        <v>44</v>
      </c>
      <c r="N18" s="1021" t="str">
        <f ca="1">OFFSET(N18,0,-1)</f>
        <v>2</v>
      </c>
      <c r="O18" s="1072">
        <f ca="1">OFFSET(O18,0,-1)+1</f>
        <v>3</v>
      </c>
      <c r="P18" s="1072"/>
      <c r="Q18" s="1072">
        <f ca="1">OFFSET(Q18,0,-1)+1</f>
        <v>1</v>
      </c>
      <c r="R18" s="1072">
        <f ca="1">OFFSET(R18,0,-1)+1</f>
        <v>2</v>
      </c>
      <c r="S18" s="1072">
        <f ca="1">OFFSET(S18,0,-1)+1</f>
        <v>3</v>
      </c>
      <c r="T18" s="2122">
        <f ca="1">OFFSET(T18,0,-1)+1</f>
        <v>4</v>
      </c>
      <c r="U18" s="2122"/>
      <c r="V18" s="1072">
        <f ca="1">OFFSET(V18,0,-2)+1</f>
        <v>5</v>
      </c>
      <c r="W18" s="1021">
        <f ca="1">OFFSET(W18,0,-1)</f>
        <v>5</v>
      </c>
      <c r="X18" s="1072">
        <f ca="1">OFFSET(X18,0,-1)+1</f>
        <v>6</v>
      </c>
      <c r="Y18" s="379"/>
      <c r="Z18" s="379"/>
      <c r="AA18" s="379"/>
      <c r="AB18" s="379"/>
      <c r="AC18" s="379"/>
    </row>
    <row r="19" spans="1:29" ht="21" customHeight="1">
      <c r="A19" s="1050" t="s">
        <v>2067</v>
      </c>
      <c r="B19" s="1050" t="s">
        <v>2068</v>
      </c>
      <c r="C19" s="1050" t="s">
        <v>2069</v>
      </c>
      <c r="D19" s="1050" t="s">
        <v>2070</v>
      </c>
      <c r="E19" s="1050"/>
      <c r="F19" s="523"/>
      <c r="G19" s="523"/>
      <c r="H19" s="523"/>
      <c r="I19" s="242"/>
      <c r="J19" s="241"/>
      <c r="K19" s="236"/>
      <c r="L19" s="1076" t="e">
        <f>INDEX(PT_DIFFERENTIATION_NUM_NTAR,MATCH(A19,PT_DIFFERENTIATION_NTAR_ID,0))</f>
        <v>#N/A</v>
      </c>
      <c r="M19" s="173" t="s">
        <v>61</v>
      </c>
      <c r="N19" s="175"/>
      <c r="O19" s="2386" t="e">
        <f>INDEX(PT_DIFFERENTIATION_NTAR,MATCH(A19,PT_DIFFERENTIATION_NTAR_ID,0))</f>
        <v>#N/A</v>
      </c>
      <c r="P19" s="2386"/>
      <c r="Q19" s="2386"/>
      <c r="R19" s="2386"/>
      <c r="S19" s="2386"/>
      <c r="T19" s="2386"/>
      <c r="U19" s="2386"/>
      <c r="V19" s="2386"/>
      <c r="W19" s="2386"/>
      <c r="X19" s="1044" t="s">
        <v>322</v>
      </c>
      <c r="Z19" s="368"/>
      <c r="AA19" s="368" t="str">
        <f t="shared" ref="AA19:AA32" si="0">IF(M19="","",M19)</f>
        <v>Наименование тарифа</v>
      </c>
      <c r="AB19" s="368"/>
      <c r="AC19" s="368"/>
    </row>
    <row r="20" spans="1:29" ht="21" customHeight="1">
      <c r="A20" s="1050" t="s">
        <v>2067</v>
      </c>
      <c r="B20" s="1050" t="s">
        <v>2068</v>
      </c>
      <c r="C20" s="1050" t="s">
        <v>2069</v>
      </c>
      <c r="D20" s="1050" t="s">
        <v>2070</v>
      </c>
      <c r="E20" s="1050"/>
      <c r="F20" s="523"/>
      <c r="G20" s="523"/>
      <c r="H20" s="523"/>
      <c r="I20" s="1073"/>
      <c r="J20" s="233"/>
      <c r="K20" s="234"/>
      <c r="L20" s="1076" t="e">
        <f>INDEX(PT_DIFFERENTIATION_NUM_TER,MATCH(B19,PT_DIFFERENTIATION_TER_ID,0))</f>
        <v>#N/A</v>
      </c>
      <c r="M20" s="185" t="s">
        <v>323</v>
      </c>
      <c r="N20" s="175"/>
      <c r="O20" s="2386" t="e">
        <f>INDEX(PT_DIFFERENTIATION_TER,MATCH(B19,PT_DIFFERENTIATION_TER_ID,0))</f>
        <v>#N/A</v>
      </c>
      <c r="P20" s="2386"/>
      <c r="Q20" s="2386"/>
      <c r="R20" s="2386"/>
      <c r="S20" s="2386"/>
      <c r="T20" s="2386"/>
      <c r="U20" s="2386"/>
      <c r="V20" s="2386"/>
      <c r="W20" s="2386"/>
      <c r="X20" s="1044" t="s">
        <v>324</v>
      </c>
      <c r="Z20" s="368"/>
      <c r="AA20" s="368" t="str">
        <f t="shared" si="0"/>
        <v>Территория действия тарифа</v>
      </c>
      <c r="AB20" s="368"/>
      <c r="AC20" s="368"/>
    </row>
    <row r="21" spans="1:29" ht="22.5" customHeight="1">
      <c r="A21" s="1050" t="s">
        <v>2067</v>
      </c>
      <c r="B21" s="1050" t="s">
        <v>2068</v>
      </c>
      <c r="C21" s="1050" t="s">
        <v>2069</v>
      </c>
      <c r="D21" s="1050" t="s">
        <v>2070</v>
      </c>
      <c r="E21" s="1050"/>
      <c r="F21" s="523"/>
      <c r="G21" s="523"/>
      <c r="H21" s="523"/>
      <c r="I21" s="235"/>
      <c r="J21" s="233"/>
      <c r="K21" s="234"/>
      <c r="L21" s="1076" t="e">
        <f>INDEX(PT_DIFFERENTIATION_NUM_CS,MATCH(C19,PT_DIFFERENTIATION_CS_ID,0))</f>
        <v>#N/A</v>
      </c>
      <c r="M21" s="186" t="s">
        <v>325</v>
      </c>
      <c r="N21" s="175"/>
      <c r="O21" s="2386" t="e">
        <f>INDEX(PT_DIFFERENTIATION_CS,MATCH(C19,PT_DIFFERENTIATION_CS_ID,0))</f>
        <v>#N/A</v>
      </c>
      <c r="P21" s="2386"/>
      <c r="Q21" s="2386"/>
      <c r="R21" s="2386"/>
      <c r="S21" s="2386"/>
      <c r="T21" s="2386"/>
      <c r="U21" s="2386"/>
      <c r="V21" s="2386"/>
      <c r="W21" s="2386"/>
      <c r="X21" s="1044" t="s">
        <v>326</v>
      </c>
      <c r="Z21" s="368"/>
      <c r="AA21" s="368" t="str">
        <f t="shared" si="0"/>
        <v xml:space="preserve">Наименование системы теплоснабжения </v>
      </c>
      <c r="AB21" s="368"/>
      <c r="AC21" s="368"/>
    </row>
    <row r="22" spans="1:29" ht="21" customHeight="1">
      <c r="A22" s="1050" t="s">
        <v>2067</v>
      </c>
      <c r="B22" s="1050" t="s">
        <v>2068</v>
      </c>
      <c r="C22" s="1050" t="s">
        <v>2069</v>
      </c>
      <c r="D22" s="1050" t="s">
        <v>2070</v>
      </c>
      <c r="E22" s="1050"/>
      <c r="F22" s="523"/>
      <c r="G22" s="523"/>
      <c r="H22" s="523"/>
      <c r="I22" s="235"/>
      <c r="J22" s="233"/>
      <c r="K22" s="234"/>
      <c r="L22" s="1076" t="e">
        <f>INDEX(PT_DIFFERENTIATION_NUM_IST_TE,MATCH(D19,PT_DIFFERENTIATION_IST_TE_ID,0))</f>
        <v>#N/A</v>
      </c>
      <c r="M22" s="187" t="s">
        <v>327</v>
      </c>
      <c r="N22" s="175"/>
      <c r="O22" s="2386" t="e">
        <f>INDEX(PT_DIFFERENTIATION_IST_TE,MATCH(D19,PT_DIFFERENTIATION_IST_TE_ID,0))</f>
        <v>#N/A</v>
      </c>
      <c r="P22" s="2386"/>
      <c r="Q22" s="2386"/>
      <c r="R22" s="2386"/>
      <c r="S22" s="2386"/>
      <c r="T22" s="2386"/>
      <c r="U22" s="2386"/>
      <c r="V22" s="2386"/>
      <c r="W22" s="2386"/>
      <c r="X22" s="1044" t="s">
        <v>328</v>
      </c>
      <c r="Z22" s="368"/>
      <c r="AA22" s="368" t="str">
        <f t="shared" si="0"/>
        <v xml:space="preserve">Источник тепловой энергии  </v>
      </c>
      <c r="AB22" s="368"/>
      <c r="AC22" s="368"/>
    </row>
    <row r="23" spans="1:29" ht="94.5" customHeight="1">
      <c r="A23" s="1050" t="s">
        <v>2067</v>
      </c>
      <c r="B23" s="1050" t="s">
        <v>2068</v>
      </c>
      <c r="C23" s="1050" t="s">
        <v>2069</v>
      </c>
      <c r="D23" s="1050" t="s">
        <v>2070</v>
      </c>
      <c r="E23" s="1050"/>
      <c r="F23" s="1954" t="e">
        <f>L22&amp;".1"</f>
        <v>#N/A</v>
      </c>
      <c r="I23" s="2115">
        <v>1</v>
      </c>
      <c r="J23" s="1074"/>
      <c r="K23" s="237"/>
      <c r="L23" s="1076" t="e">
        <f>$F$23</f>
        <v>#N/A</v>
      </c>
      <c r="M23" s="161" t="s">
        <v>330</v>
      </c>
      <c r="N23" s="175"/>
      <c r="O23" s="2387"/>
      <c r="P23" s="2387"/>
      <c r="Q23" s="2387"/>
      <c r="R23" s="2387"/>
      <c r="S23" s="2387"/>
      <c r="T23" s="2387"/>
      <c r="U23" s="2387"/>
      <c r="V23" s="2387"/>
      <c r="W23" s="2387"/>
      <c r="X23" s="1044" t="s">
        <v>331</v>
      </c>
      <c r="Z23" s="368"/>
      <c r="AA23" s="368" t="str">
        <f t="shared" si="0"/>
        <v>Схема подключения теплопотребляющей установки к коллектору источника тепловой энергии</v>
      </c>
      <c r="AB23" s="368"/>
      <c r="AC23" s="368"/>
    </row>
    <row r="24" spans="1:29" ht="84" customHeight="1">
      <c r="A24" s="1050" t="s">
        <v>2067</v>
      </c>
      <c r="B24" s="1050" t="s">
        <v>2068</v>
      </c>
      <c r="C24" s="1050" t="s">
        <v>2069</v>
      </c>
      <c r="D24" s="1050" t="s">
        <v>2070</v>
      </c>
      <c r="E24" s="1050"/>
      <c r="F24" s="1954"/>
      <c r="G24" s="1954" t="e">
        <f>F23&amp;".1"</f>
        <v>#N/A</v>
      </c>
      <c r="I24" s="2115"/>
      <c r="J24" s="2115">
        <v>1</v>
      </c>
      <c r="K24" s="238"/>
      <c r="L24" s="1076" t="e">
        <f>$G$24</f>
        <v>#N/A</v>
      </c>
      <c r="M24" s="162" t="s">
        <v>333</v>
      </c>
      <c r="N24" s="175"/>
      <c r="O24" s="2388"/>
      <c r="P24" s="2389"/>
      <c r="Q24" s="2389"/>
      <c r="R24" s="2389"/>
      <c r="S24" s="2389"/>
      <c r="T24" s="2389"/>
      <c r="U24" s="2389"/>
      <c r="V24" s="2389"/>
      <c r="W24" s="2390"/>
      <c r="X24" s="1044" t="s">
        <v>334</v>
      </c>
      <c r="Z24" s="368"/>
      <c r="AA24" s="368" t="str">
        <f t="shared" si="0"/>
        <v>Группа потребителей</v>
      </c>
      <c r="AB24" s="368"/>
      <c r="AC24" s="368"/>
    </row>
    <row r="25" spans="1:29" ht="11.25" customHeight="1">
      <c r="A25" s="1050" t="s">
        <v>2067</v>
      </c>
      <c r="B25" s="1050" t="s">
        <v>2068</v>
      </c>
      <c r="C25" s="1050" t="s">
        <v>2069</v>
      </c>
      <c r="D25" s="1050" t="s">
        <v>2070</v>
      </c>
      <c r="E25" s="1050"/>
      <c r="F25" s="1954"/>
      <c r="G25" s="1954"/>
      <c r="H25" s="1954" t="e">
        <f>G24&amp;".1"</f>
        <v>#N/A</v>
      </c>
      <c r="I25" s="2115"/>
      <c r="J25" s="2115"/>
      <c r="K25" s="238">
        <v>1</v>
      </c>
      <c r="L25" s="1076" t="e">
        <f>$H$25</f>
        <v>#N/A</v>
      </c>
      <c r="M25" s="1045"/>
      <c r="N25" s="175"/>
      <c r="O25" s="576"/>
      <c r="P25" s="207"/>
      <c r="Q25" s="576"/>
      <c r="R25" s="1043"/>
      <c r="S25" s="2116"/>
      <c r="T25" s="2109" t="s">
        <v>16</v>
      </c>
      <c r="U25" s="2116"/>
      <c r="V25" s="2109" t="s">
        <v>15</v>
      </c>
      <c r="W25" s="207"/>
      <c r="X25" s="2134" t="s">
        <v>336</v>
      </c>
      <c r="Y25" s="379" t="e">
        <f ca="1">STRCHECKDATE(O26:W26)</f>
        <v>#NAME?</v>
      </c>
      <c r="Z25" s="368"/>
      <c r="AA25" s="368" t="str">
        <f t="shared" si="0"/>
        <v/>
      </c>
      <c r="AB25" s="368"/>
      <c r="AC25" s="368"/>
    </row>
    <row r="26" spans="1:29" ht="11.25" customHeight="1">
      <c r="A26" s="1050" t="s">
        <v>2067</v>
      </c>
      <c r="B26" s="1050" t="s">
        <v>2068</v>
      </c>
      <c r="C26" s="1050" t="s">
        <v>2069</v>
      </c>
      <c r="D26" s="1050" t="s">
        <v>2070</v>
      </c>
      <c r="E26" s="1050"/>
      <c r="F26" s="1954"/>
      <c r="G26" s="1954"/>
      <c r="H26" s="1954"/>
      <c r="I26" s="2115"/>
      <c r="J26" s="2115"/>
      <c r="K26" s="238"/>
      <c r="L26" s="1077"/>
      <c r="M26" s="175"/>
      <c r="N26" s="175"/>
      <c r="O26" s="207"/>
      <c r="P26" s="207"/>
      <c r="Q26" s="207"/>
      <c r="R26" s="211" t="str">
        <f>S25&amp;"-"&amp;U25</f>
        <v>-</v>
      </c>
      <c r="S26" s="2117"/>
      <c r="T26" s="2109"/>
      <c r="U26" s="2117"/>
      <c r="V26" s="2109"/>
      <c r="W26" s="207"/>
      <c r="X26" s="2135"/>
      <c r="Z26" s="368"/>
      <c r="AA26" s="368" t="str">
        <f t="shared" si="0"/>
        <v/>
      </c>
      <c r="AB26" s="368"/>
      <c r="AC26" s="368"/>
    </row>
    <row r="27" spans="1:29" ht="15" customHeight="1">
      <c r="A27" s="1050" t="s">
        <v>2067</v>
      </c>
      <c r="B27" s="1050" t="s">
        <v>2068</v>
      </c>
      <c r="C27" s="1050" t="s">
        <v>2069</v>
      </c>
      <c r="D27" s="1050" t="s">
        <v>2070</v>
      </c>
      <c r="E27" s="1050"/>
      <c r="F27" s="1954"/>
      <c r="G27" s="1954"/>
      <c r="I27" s="2115"/>
      <c r="J27" s="2115"/>
      <c r="K27" s="237"/>
      <c r="L27" s="1062"/>
      <c r="M27" s="164" t="s">
        <v>337</v>
      </c>
      <c r="N27" s="251"/>
      <c r="O27" s="251"/>
      <c r="P27" s="251"/>
      <c r="Q27" s="251"/>
      <c r="R27" s="251"/>
      <c r="S27" s="251"/>
      <c r="T27" s="251"/>
      <c r="U27" s="251"/>
      <c r="V27" s="251"/>
      <c r="W27" s="206"/>
      <c r="X27" s="2136"/>
      <c r="Z27" s="368"/>
      <c r="AA27" s="368" t="str">
        <f t="shared" si="0"/>
        <v>Добавить вид теплоносителя (параметры теплоносителя)</v>
      </c>
      <c r="AB27" s="368"/>
      <c r="AC27" s="368"/>
    </row>
    <row r="28" spans="1:29" ht="15" customHeight="1">
      <c r="A28" s="1050" t="s">
        <v>2067</v>
      </c>
      <c r="B28" s="1050" t="s">
        <v>2068</v>
      </c>
      <c r="C28" s="1050" t="s">
        <v>2069</v>
      </c>
      <c r="D28" s="1050" t="s">
        <v>2070</v>
      </c>
      <c r="E28" s="1050"/>
      <c r="F28" s="1954"/>
      <c r="I28" s="2115"/>
      <c r="J28" s="1074"/>
      <c r="K28" s="237"/>
      <c r="L28" s="1062"/>
      <c r="M28" s="163" t="s">
        <v>338</v>
      </c>
      <c r="N28" s="251"/>
      <c r="O28" s="251"/>
      <c r="P28" s="251"/>
      <c r="Q28" s="251"/>
      <c r="R28" s="251"/>
      <c r="S28" s="251"/>
      <c r="T28" s="251"/>
      <c r="U28" s="251"/>
      <c r="V28" s="250"/>
      <c r="W28" s="251"/>
      <c r="X28" s="178"/>
      <c r="Z28" s="368"/>
      <c r="AA28" s="368" t="str">
        <f t="shared" si="0"/>
        <v>Добавить группу потребителей</v>
      </c>
      <c r="AB28" s="368"/>
      <c r="AC28" s="368"/>
    </row>
    <row r="29" spans="1:29" ht="14.25" customHeight="1">
      <c r="A29" s="1050" t="s">
        <v>2067</v>
      </c>
      <c r="B29" s="1050" t="s">
        <v>2068</v>
      </c>
      <c r="C29" s="1050" t="s">
        <v>2069</v>
      </c>
      <c r="D29" s="1050" t="s">
        <v>2070</v>
      </c>
      <c r="E29" s="1050"/>
      <c r="F29" s="523"/>
      <c r="G29" s="523"/>
      <c r="H29" s="377"/>
      <c r="I29" s="241"/>
      <c r="J29" s="260"/>
      <c r="K29" s="236"/>
      <c r="L29" s="1062"/>
      <c r="M29" s="248" t="s">
        <v>339</v>
      </c>
      <c r="N29" s="251"/>
      <c r="O29" s="251"/>
      <c r="P29" s="251"/>
      <c r="Q29" s="251"/>
      <c r="R29" s="251"/>
      <c r="S29" s="251"/>
      <c r="T29" s="251"/>
      <c r="U29" s="251"/>
      <c r="V29" s="250"/>
      <c r="W29" s="251"/>
      <c r="X29" s="178"/>
      <c r="Z29" s="368"/>
      <c r="AA29" s="368" t="str">
        <f t="shared" si="0"/>
        <v>Добавить схему подключения</v>
      </c>
      <c r="AB29" s="368"/>
      <c r="AC29" s="368"/>
    </row>
    <row r="30" spans="1:29" ht="14.25" customHeight="1">
      <c r="A30" s="1050" t="s">
        <v>2067</v>
      </c>
      <c r="B30" s="1050" t="s">
        <v>2068</v>
      </c>
      <c r="C30" s="1050" t="s">
        <v>2069</v>
      </c>
      <c r="D30" s="1050"/>
      <c r="E30" s="1050" t="s">
        <v>504</v>
      </c>
      <c r="F30" s="523"/>
      <c r="G30" s="523"/>
      <c r="H30" s="377"/>
      <c r="I30" s="241"/>
      <c r="J30" s="260"/>
      <c r="K30" s="236"/>
      <c r="L30" s="1063"/>
      <c r="M30" s="1052"/>
      <c r="N30" s="1053"/>
      <c r="O30" s="1053"/>
      <c r="P30" s="1053"/>
      <c r="Q30" s="1053"/>
      <c r="R30" s="1053"/>
      <c r="S30" s="1053"/>
      <c r="T30" s="1053"/>
      <c r="U30" s="1053"/>
      <c r="V30" s="1054"/>
      <c r="W30" s="1053"/>
      <c r="X30" s="1055"/>
      <c r="Z30" s="368"/>
      <c r="AA30" s="368" t="str">
        <f t="shared" si="0"/>
        <v/>
      </c>
      <c r="AB30" s="368"/>
      <c r="AC30" s="368"/>
    </row>
    <row r="31" spans="1:29" ht="14.25" customHeight="1">
      <c r="A31" s="1050" t="s">
        <v>2067</v>
      </c>
      <c r="B31" s="1050" t="s">
        <v>2068</v>
      </c>
      <c r="C31" s="1050"/>
      <c r="D31" s="1050"/>
      <c r="E31" s="1050" t="s">
        <v>2063</v>
      </c>
      <c r="F31" s="1041"/>
      <c r="G31" s="1041"/>
      <c r="H31" s="377"/>
      <c r="I31" s="239"/>
      <c r="J31" s="260"/>
      <c r="K31" s="240"/>
      <c r="L31" s="1063"/>
      <c r="M31" s="1056"/>
      <c r="N31" s="1053"/>
      <c r="O31" s="1053"/>
      <c r="P31" s="1053"/>
      <c r="Q31" s="1053"/>
      <c r="R31" s="1053"/>
      <c r="S31" s="1053"/>
      <c r="T31" s="1053"/>
      <c r="U31" s="1053"/>
      <c r="V31" s="1054"/>
      <c r="W31" s="1053"/>
      <c r="X31" s="1055"/>
      <c r="Z31" s="368"/>
      <c r="AA31" s="368" t="str">
        <f t="shared" si="0"/>
        <v/>
      </c>
      <c r="AB31" s="368"/>
      <c r="AC31" s="368"/>
    </row>
    <row r="32" spans="1:29" ht="14.25" customHeight="1">
      <c r="A32" s="1050" t="s">
        <v>2071</v>
      </c>
      <c r="B32" s="1050"/>
      <c r="C32" s="1050"/>
      <c r="D32" s="1050"/>
      <c r="E32" s="1050" t="s">
        <v>38</v>
      </c>
      <c r="F32" s="1041"/>
      <c r="G32" s="1041"/>
      <c r="H32" s="377"/>
      <c r="I32" s="241"/>
      <c r="J32" s="260"/>
      <c r="K32" s="236"/>
      <c r="L32" s="1063"/>
      <c r="M32" s="1057"/>
      <c r="N32" s="1053"/>
      <c r="O32" s="1053"/>
      <c r="P32" s="1053"/>
      <c r="Q32" s="1053"/>
      <c r="R32" s="1053"/>
      <c r="S32" s="1053"/>
      <c r="T32" s="1053"/>
      <c r="U32" s="1053"/>
      <c r="V32" s="1054"/>
      <c r="W32" s="1053"/>
      <c r="X32" s="1055"/>
      <c r="Z32" s="368"/>
      <c r="AA32" s="368" t="str">
        <f t="shared" si="0"/>
        <v/>
      </c>
      <c r="AB32" s="368"/>
      <c r="AC32" s="368"/>
    </row>
    <row r="33" spans="1:29" s="1829" customFormat="1" ht="11.25" customHeight="1">
      <c r="A33" s="1050"/>
      <c r="B33" s="1050"/>
      <c r="C33" s="1050"/>
      <c r="D33" s="1050"/>
      <c r="E33" s="1050" t="s">
        <v>374</v>
      </c>
      <c r="F33" s="1051"/>
      <c r="G33" s="1042"/>
      <c r="H33" s="377"/>
      <c r="L33" s="1064"/>
      <c r="M33" s="1058"/>
      <c r="N33" s="1053"/>
      <c r="O33" s="1053"/>
      <c r="P33" s="1053"/>
      <c r="Q33" s="1053"/>
      <c r="R33" s="1053"/>
      <c r="S33" s="1053"/>
      <c r="T33" s="1053"/>
      <c r="U33" s="1053"/>
      <c r="V33" s="1054"/>
      <c r="W33" s="1053"/>
      <c r="X33" s="1055"/>
      <c r="Y33" s="267"/>
      <c r="Z33" s="267"/>
      <c r="AA33" s="267"/>
      <c r="AB33" s="267"/>
      <c r="AC33" s="267"/>
    </row>
    <row r="34" spans="1:29" ht="11.25" customHeight="1">
      <c r="F34" s="924"/>
      <c r="G34" s="924"/>
      <c r="H34" s="377"/>
      <c r="I34" s="924"/>
      <c r="J34" s="924"/>
      <c r="K34" s="924"/>
      <c r="Y34" s="924"/>
      <c r="Z34" s="924"/>
      <c r="AA34" s="924"/>
      <c r="AB34" s="924"/>
      <c r="AC34" s="924"/>
    </row>
    <row r="35" spans="1:29" ht="27" customHeight="1">
      <c r="H35" s="377"/>
      <c r="L35" s="1071" t="s">
        <v>637</v>
      </c>
      <c r="M35" s="2110" t="s">
        <v>2065</v>
      </c>
      <c r="N35" s="2110"/>
      <c r="O35" s="2110"/>
      <c r="P35" s="2110"/>
      <c r="Q35" s="2110"/>
      <c r="R35" s="2110"/>
      <c r="S35" s="2110"/>
      <c r="T35" s="2110"/>
      <c r="U35" s="2110"/>
      <c r="V35" s="2110"/>
      <c r="W35" s="2110"/>
      <c r="X35" s="2110"/>
    </row>
    <row r="36" spans="1:29" ht="104.25" customHeight="1">
      <c r="F36" s="1086"/>
      <c r="G36" s="1086"/>
      <c r="H36" s="377"/>
      <c r="I36" s="1086"/>
      <c r="M36" s="2110" t="s">
        <v>2066</v>
      </c>
      <c r="N36" s="2110"/>
      <c r="O36" s="2110"/>
      <c r="P36" s="2110"/>
      <c r="Q36" s="2110"/>
      <c r="R36" s="2110"/>
      <c r="S36" s="2110"/>
      <c r="T36" s="2110"/>
      <c r="U36" s="2110"/>
      <c r="V36" s="2110"/>
      <c r="W36" s="2110"/>
      <c r="X36" s="2110"/>
    </row>
    <row r="37" spans="1:29" ht="14.25" customHeight="1">
      <c r="H37" s="377"/>
    </row>
    <row r="38" spans="1:29" ht="14.25" customHeight="1">
      <c r="H38" s="377"/>
    </row>
    <row r="39" spans="1:29" ht="14.25" customHeight="1">
      <c r="H39" s="377"/>
    </row>
    <row r="40" spans="1:29" ht="14.25" customHeight="1">
      <c r="H40" s="377"/>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0.5703125" style="1661"/>
    <col min="2" max="2" width="11" style="1661" customWidth="1"/>
    <col min="3" max="3" width="10.5703125" style="1661"/>
    <col min="4" max="4" width="11.85546875" style="1661" customWidth="1"/>
    <col min="5" max="5" width="12.28515625" style="1661" customWidth="1"/>
    <col min="6" max="8" width="12.28515625" style="1850" customWidth="1"/>
    <col min="9" max="9" width="3.7109375" style="1850" customWidth="1"/>
    <col min="10" max="11" width="3.7109375" style="1695" customWidth="1"/>
    <col min="12" max="12" width="12.7109375" style="1696" customWidth="1"/>
    <col min="13" max="13" width="32" style="1661" customWidth="1"/>
    <col min="14" max="14" width="1.7109375" style="1661" customWidth="1"/>
    <col min="15" max="18" width="24.7109375" style="1661" customWidth="1"/>
    <col min="19" max="19" width="11.7109375" style="1661" customWidth="1"/>
    <col min="20" max="20" width="3.7109375" style="1661" customWidth="1"/>
    <col min="21" max="21" width="11.7109375" style="1661" customWidth="1"/>
    <col min="22" max="22" width="8.5703125" style="1661" customWidth="1"/>
    <col min="23" max="23" width="4.7109375" style="1661" customWidth="1"/>
    <col min="24" max="24" width="115.7109375" style="1661" customWidth="1"/>
    <col min="25" max="26" width="10.5703125" style="1622"/>
    <col min="27" max="27" width="11.140625" style="1622" customWidth="1"/>
    <col min="28" max="29" width="10.5703125" style="1622"/>
  </cols>
  <sheetData>
    <row r="1" spans="6:29" ht="14.25" hidden="1" customHeight="1">
      <c r="R1" s="210"/>
      <c r="S1" s="210"/>
    </row>
    <row r="2" spans="6:29" ht="14.25" hidden="1" customHeight="1">
      <c r="V2" s="210"/>
    </row>
    <row r="3" spans="6:29" ht="14.25" hidden="1" customHeight="1"/>
    <row r="4" spans="6:29" ht="14.25" customHeight="1">
      <c r="J4" s="261"/>
      <c r="K4" s="261"/>
      <c r="L4" s="1059"/>
      <c r="M4" s="246"/>
      <c r="N4" s="246"/>
      <c r="O4" s="377"/>
      <c r="P4" s="377"/>
      <c r="Q4" s="377"/>
      <c r="R4" s="377"/>
      <c r="S4" s="377"/>
      <c r="T4" s="377"/>
      <c r="U4" s="377"/>
      <c r="V4" s="377"/>
    </row>
    <row r="5" spans="6:29" ht="64.5" customHeight="1">
      <c r="J5" s="261"/>
      <c r="K5" s="261"/>
      <c r="L5" s="2392" t="s">
        <v>2061</v>
      </c>
      <c r="M5" s="2392"/>
      <c r="N5" s="2392"/>
      <c r="O5" s="2392"/>
      <c r="P5" s="2392"/>
      <c r="Q5" s="2392"/>
      <c r="R5" s="2392"/>
      <c r="S5" s="2392"/>
      <c r="T5" s="2392"/>
      <c r="U5" s="2392"/>
      <c r="V5" s="1019"/>
    </row>
    <row r="6" spans="6:29" ht="14.25" customHeight="1">
      <c r="J6" s="261"/>
      <c r="K6" s="261"/>
      <c r="L6" s="2393" t="e">
        <f>IF(org=0,"Не определено",org)</f>
        <v>#REF!</v>
      </c>
      <c r="M6" s="2393"/>
      <c r="N6" s="2393"/>
      <c r="O6" s="2393"/>
      <c r="P6" s="2393"/>
      <c r="Q6" s="2393"/>
      <c r="R6" s="2393"/>
      <c r="S6" s="2393"/>
      <c r="T6" s="2393"/>
      <c r="U6" s="2393"/>
      <c r="V6" s="1019"/>
    </row>
    <row r="7" spans="6:29" ht="14.25" customHeight="1">
      <c r="J7" s="261"/>
      <c r="K7" s="261"/>
      <c r="L7" s="1059"/>
      <c r="M7" s="246"/>
      <c r="N7" s="246"/>
      <c r="O7" s="203"/>
      <c r="P7" s="203"/>
      <c r="Q7" s="203"/>
      <c r="R7" s="203"/>
      <c r="S7" s="203"/>
      <c r="T7" s="203"/>
      <c r="U7" s="203"/>
      <c r="V7" s="203"/>
      <c r="W7" s="377"/>
    </row>
    <row r="8" spans="6:29" s="1692" customFormat="1" ht="45" customHeight="1">
      <c r="F8" s="1025"/>
      <c r="G8" s="1025"/>
      <c r="H8" s="1025"/>
      <c r="L8" s="1060"/>
      <c r="M8" s="170" t="s">
        <v>6</v>
      </c>
      <c r="N8" s="179"/>
      <c r="O8" s="2103" t="e">
        <f>IF(TITLE_NAME_OR_PR_CHANGE="",IF(TITLE_NAME_OR_PR="","",TITLE_NAME_OR_PR),TITLE_NAME_OR_PR_CHANGE)</f>
        <v>#REF!</v>
      </c>
      <c r="P8" s="2103"/>
      <c r="Q8" s="2103"/>
      <c r="R8" s="2103"/>
      <c r="S8" s="2103"/>
      <c r="T8" s="2103"/>
      <c r="U8" s="2103"/>
      <c r="V8" s="209"/>
      <c r="W8" s="209"/>
      <c r="X8" s="157"/>
      <c r="Y8" s="252"/>
      <c r="Z8" s="252"/>
      <c r="AA8" s="252"/>
      <c r="AB8" s="252"/>
      <c r="AC8" s="252"/>
    </row>
    <row r="9" spans="6:29" s="1692" customFormat="1" ht="22.5" customHeight="1">
      <c r="F9" s="1025"/>
      <c r="G9" s="1025"/>
      <c r="H9" s="1025"/>
      <c r="L9" s="1060"/>
      <c r="M9" s="170" t="s">
        <v>349</v>
      </c>
      <c r="N9" s="179"/>
      <c r="O9" s="2103" t="e">
        <f>IF(TITLE_DATE_CHANGE_PERIOD="",IF(TITLE_DATE_PR="","",TITLE_DATE_PR),TITLE_DATE_CHANGE_PERIOD)</f>
        <v>#REF!</v>
      </c>
      <c r="P9" s="2103"/>
      <c r="Q9" s="2103"/>
      <c r="R9" s="2103"/>
      <c r="S9" s="2103"/>
      <c r="T9" s="2103"/>
      <c r="U9" s="2103"/>
      <c r="V9" s="209"/>
      <c r="W9" s="209"/>
      <c r="X9" s="157"/>
      <c r="Y9" s="252"/>
      <c r="Z9" s="252"/>
      <c r="AA9" s="252"/>
      <c r="AB9" s="252"/>
      <c r="AC9" s="252"/>
    </row>
    <row r="10" spans="6:29" s="1692" customFormat="1" ht="22.5" customHeight="1">
      <c r="F10" s="1025"/>
      <c r="G10" s="1025"/>
      <c r="H10" s="1025"/>
      <c r="L10" s="1027"/>
      <c r="M10" s="170" t="s">
        <v>350</v>
      </c>
      <c r="N10" s="179"/>
      <c r="O10" s="2103" t="e">
        <f>IF(TITLE_NUMBER_PR_CHANGE="",IF(TITLE_NUMBER_PR="","",TITLE_NUMBER_PR),TITLE_NUMBER_PR_CHANGE)</f>
        <v>#REF!</v>
      </c>
      <c r="P10" s="2103"/>
      <c r="Q10" s="2103"/>
      <c r="R10" s="2103"/>
      <c r="S10" s="2103"/>
      <c r="T10" s="2103"/>
      <c r="U10" s="2103"/>
      <c r="V10" s="209"/>
      <c r="W10" s="209"/>
      <c r="X10" s="157"/>
      <c r="Y10" s="252"/>
      <c r="Z10" s="252"/>
      <c r="AA10" s="252"/>
      <c r="AB10" s="252"/>
      <c r="AC10" s="252"/>
    </row>
    <row r="11" spans="6:29" s="1692" customFormat="1" ht="22.5" customHeight="1">
      <c r="F11" s="1025"/>
      <c r="G11" s="1025"/>
      <c r="H11" s="1025"/>
      <c r="L11" s="1027"/>
      <c r="M11" s="170" t="s">
        <v>7</v>
      </c>
      <c r="N11" s="179"/>
      <c r="O11" s="2103" t="e">
        <f>IF(TITLE_IST_PUB_CHANGE="",IF(TITLE_IST_PUB="","",TITLE_IST_PUB),TITLE_IST_PUB_CHANGE)</f>
        <v>#REF!</v>
      </c>
      <c r="P11" s="2103"/>
      <c r="Q11" s="2103"/>
      <c r="R11" s="2103"/>
      <c r="S11" s="2103"/>
      <c r="T11" s="2103"/>
      <c r="U11" s="2103"/>
      <c r="V11" s="209"/>
      <c r="W11" s="209"/>
      <c r="X11" s="157"/>
      <c r="Y11" s="252"/>
      <c r="Z11" s="252"/>
      <c r="AA11" s="252"/>
      <c r="AB11" s="252"/>
      <c r="AC11" s="252"/>
    </row>
    <row r="12" spans="6:29" s="1692" customFormat="1" ht="11.25" hidden="1" customHeight="1">
      <c r="F12" s="1025"/>
      <c r="G12" s="1025"/>
      <c r="H12" s="1025"/>
      <c r="L12" s="2391"/>
      <c r="M12" s="2391"/>
      <c r="N12" s="1070"/>
      <c r="O12" s="209"/>
      <c r="P12" s="209"/>
      <c r="Q12" s="209"/>
      <c r="R12" s="209"/>
      <c r="S12" s="209"/>
      <c r="T12" s="209"/>
      <c r="U12" s="209"/>
      <c r="V12" s="155" t="s">
        <v>353</v>
      </c>
      <c r="Y12" s="252"/>
      <c r="Z12" s="252"/>
      <c r="AA12" s="252"/>
      <c r="AB12" s="252"/>
      <c r="AC12" s="252"/>
    </row>
    <row r="13" spans="6:29" ht="14.25" customHeight="1">
      <c r="J13" s="261"/>
      <c r="K13" s="261"/>
      <c r="L13" s="1059"/>
      <c r="M13" s="246"/>
      <c r="N13" s="1020"/>
      <c r="O13" s="2123"/>
      <c r="P13" s="2123"/>
      <c r="Q13" s="2123"/>
      <c r="R13" s="2123"/>
      <c r="S13" s="2123"/>
      <c r="T13" s="2123"/>
      <c r="U13" s="2123"/>
      <c r="V13" s="2123"/>
    </row>
    <row r="14" spans="6:29" ht="14.25" customHeight="1">
      <c r="J14" s="261"/>
      <c r="K14" s="261"/>
      <c r="L14" s="2025" t="s">
        <v>224</v>
      </c>
      <c r="M14" s="2025"/>
      <c r="N14" s="2025"/>
      <c r="O14" s="2025"/>
      <c r="P14" s="2025"/>
      <c r="Q14" s="2025"/>
      <c r="R14" s="2025"/>
      <c r="S14" s="2025"/>
      <c r="T14" s="2025"/>
      <c r="U14" s="2025"/>
      <c r="V14" s="2025"/>
      <c r="W14" s="2025"/>
      <c r="X14" s="2025" t="s">
        <v>225</v>
      </c>
    </row>
    <row r="15" spans="6:29" ht="14.25" customHeight="1">
      <c r="J15" s="261"/>
      <c r="K15" s="261"/>
      <c r="L15" s="2124" t="s">
        <v>22</v>
      </c>
      <c r="M15" s="2068" t="s">
        <v>354</v>
      </c>
      <c r="N15" s="176"/>
      <c r="O15" s="2125" t="s">
        <v>2062</v>
      </c>
      <c r="P15" s="2126"/>
      <c r="Q15" s="2126"/>
      <c r="R15" s="2126"/>
      <c r="S15" s="2126"/>
      <c r="T15" s="2126"/>
      <c r="U15" s="2127"/>
      <c r="V15" s="2128" t="s">
        <v>356</v>
      </c>
      <c r="W15" s="2131" t="s">
        <v>980</v>
      </c>
      <c r="X15" s="2025"/>
    </row>
    <row r="16" spans="6:29" ht="33.75" customHeight="1">
      <c r="J16" s="261"/>
      <c r="K16" s="261"/>
      <c r="L16" s="2124"/>
      <c r="M16" s="2068"/>
      <c r="N16" s="814"/>
      <c r="O16" s="2036" t="s">
        <v>359</v>
      </c>
      <c r="P16" s="2036" t="s">
        <v>360</v>
      </c>
      <c r="Q16" s="1956" t="s">
        <v>361</v>
      </c>
      <c r="R16" s="1958"/>
      <c r="S16" s="1956" t="s">
        <v>375</v>
      </c>
      <c r="T16" s="1957"/>
      <c r="U16" s="1958"/>
      <c r="V16" s="2129"/>
      <c r="W16" s="2132"/>
      <c r="X16" s="2025"/>
    </row>
    <row r="17" spans="1:29" ht="33.75" customHeight="1">
      <c r="A17" s="1046" t="s">
        <v>72</v>
      </c>
      <c r="B17" s="1046" t="s">
        <v>73</v>
      </c>
      <c r="C17" s="1046" t="s">
        <v>74</v>
      </c>
      <c r="D17" s="1046" t="s">
        <v>75</v>
      </c>
      <c r="E17" s="1046"/>
      <c r="J17" s="261"/>
      <c r="K17" s="261"/>
      <c r="L17" s="2124"/>
      <c r="M17" s="2068"/>
      <c r="N17" s="177"/>
      <c r="O17" s="2093"/>
      <c r="P17" s="2093"/>
      <c r="Q17" s="995" t="s">
        <v>370</v>
      </c>
      <c r="R17" s="995" t="s">
        <v>371</v>
      </c>
      <c r="S17" s="1075" t="s">
        <v>372</v>
      </c>
      <c r="T17" s="2073" t="s">
        <v>373</v>
      </c>
      <c r="U17" s="2087"/>
      <c r="V17" s="2130"/>
      <c r="W17" s="2133"/>
      <c r="X17" s="2025"/>
    </row>
    <row r="18" spans="1:29" s="1621" customFormat="1" ht="11.25" customHeight="1">
      <c r="A18" s="1046"/>
      <c r="B18" s="1046"/>
      <c r="C18" s="1046"/>
      <c r="D18" s="1046"/>
      <c r="E18" s="1046"/>
      <c r="F18" s="1069"/>
      <c r="G18" s="1069"/>
      <c r="H18" s="1069"/>
      <c r="I18" s="1022"/>
      <c r="J18" s="1023"/>
      <c r="K18" s="1038">
        <v>1</v>
      </c>
      <c r="L18" s="1061" t="s">
        <v>43</v>
      </c>
      <c r="M18" s="1039" t="s">
        <v>44</v>
      </c>
      <c r="N18" s="1021" t="str">
        <f ca="1">OFFSET(N18,0,-1)</f>
        <v>2</v>
      </c>
      <c r="O18" s="1072">
        <f ca="1">OFFSET(O18,0,-1)+1</f>
        <v>3</v>
      </c>
      <c r="P18" s="1072"/>
      <c r="Q18" s="1072">
        <f ca="1">OFFSET(Q18,0,-1)+1</f>
        <v>1</v>
      </c>
      <c r="R18" s="1072">
        <f ca="1">OFFSET(R18,0,-1)+1</f>
        <v>2</v>
      </c>
      <c r="S18" s="1072">
        <f ca="1">OFFSET(S18,0,-1)+1</f>
        <v>3</v>
      </c>
      <c r="T18" s="2122">
        <f ca="1">OFFSET(T18,0,-1)+1</f>
        <v>4</v>
      </c>
      <c r="U18" s="2122"/>
      <c r="V18" s="1072">
        <f ca="1">OFFSET(V18,0,-2)+1</f>
        <v>5</v>
      </c>
      <c r="W18" s="1021">
        <f ca="1">OFFSET(W18,0,-1)</f>
        <v>5</v>
      </c>
      <c r="X18" s="1072">
        <f ca="1">OFFSET(X18,0,-1)+1</f>
        <v>6</v>
      </c>
      <c r="Y18" s="379"/>
      <c r="Z18" s="379"/>
      <c r="AA18" s="379"/>
      <c r="AB18" s="379"/>
      <c r="AC18" s="379"/>
    </row>
    <row r="19" spans="1:29" ht="21" customHeight="1">
      <c r="A19" s="1050" t="s">
        <v>2072</v>
      </c>
      <c r="B19" s="1050" t="s">
        <v>2073</v>
      </c>
      <c r="C19" s="1050" t="s">
        <v>2074</v>
      </c>
      <c r="D19" s="1050" t="s">
        <v>2075</v>
      </c>
      <c r="E19" s="1050"/>
      <c r="F19" s="523"/>
      <c r="G19" s="523"/>
      <c r="H19" s="523"/>
      <c r="I19" s="242"/>
      <c r="J19" s="241"/>
      <c r="K19" s="236"/>
      <c r="L19" s="1076" t="e">
        <f>INDEX(PT_DIFFERENTIATION_NUM_NTAR,MATCH(A19,PT_DIFFERENTIATION_NTAR_ID,0))</f>
        <v>#N/A</v>
      </c>
      <c r="M19" s="173" t="s">
        <v>61</v>
      </c>
      <c r="N19" s="175"/>
      <c r="O19" s="2386" t="e">
        <f>INDEX(PT_DIFFERENTIATION_NTAR,MATCH(A19,PT_DIFFERENTIATION_NTAR_ID,0))</f>
        <v>#N/A</v>
      </c>
      <c r="P19" s="2386"/>
      <c r="Q19" s="2386"/>
      <c r="R19" s="2386"/>
      <c r="S19" s="2386"/>
      <c r="T19" s="2386"/>
      <c r="U19" s="2386"/>
      <c r="V19" s="2386"/>
      <c r="W19" s="2386"/>
      <c r="X19" s="1044" t="s">
        <v>322</v>
      </c>
      <c r="Z19" s="368"/>
      <c r="AA19" s="368" t="str">
        <f t="shared" ref="AA19:AA32" si="0">IF(M19="","",M19)</f>
        <v>Наименование тарифа</v>
      </c>
      <c r="AB19" s="368"/>
      <c r="AC19" s="368"/>
    </row>
    <row r="20" spans="1:29" ht="21" customHeight="1">
      <c r="A20" s="1050" t="s">
        <v>2072</v>
      </c>
      <c r="B20" s="1050" t="s">
        <v>2073</v>
      </c>
      <c r="C20" s="1050" t="s">
        <v>2074</v>
      </c>
      <c r="D20" s="1050" t="s">
        <v>2075</v>
      </c>
      <c r="E20" s="1050"/>
      <c r="F20" s="523"/>
      <c r="G20" s="523"/>
      <c r="H20" s="523"/>
      <c r="I20" s="1073"/>
      <c r="J20" s="233"/>
      <c r="K20" s="234"/>
      <c r="L20" s="1076" t="e">
        <f>INDEX(PT_DIFFERENTIATION_NUM_TER,MATCH(B19,PT_DIFFERENTIATION_TER_ID,0))</f>
        <v>#N/A</v>
      </c>
      <c r="M20" s="185" t="s">
        <v>323</v>
      </c>
      <c r="N20" s="175"/>
      <c r="O20" s="2386" t="e">
        <f>INDEX(PT_DIFFERENTIATION_TER,MATCH(B19,PT_DIFFERENTIATION_TER_ID,0))</f>
        <v>#N/A</v>
      </c>
      <c r="P20" s="2386"/>
      <c r="Q20" s="2386"/>
      <c r="R20" s="2386"/>
      <c r="S20" s="2386"/>
      <c r="T20" s="2386"/>
      <c r="U20" s="2386"/>
      <c r="V20" s="2386"/>
      <c r="W20" s="2386"/>
      <c r="X20" s="1044" t="s">
        <v>324</v>
      </c>
      <c r="Z20" s="368"/>
      <c r="AA20" s="368" t="str">
        <f t="shared" si="0"/>
        <v>Территория действия тарифа</v>
      </c>
      <c r="AB20" s="368"/>
      <c r="AC20" s="368"/>
    </row>
    <row r="21" spans="1:29" ht="22.5" customHeight="1">
      <c r="A21" s="1050" t="s">
        <v>2072</v>
      </c>
      <c r="B21" s="1050" t="s">
        <v>2073</v>
      </c>
      <c r="C21" s="1050" t="s">
        <v>2074</v>
      </c>
      <c r="D21" s="1050" t="s">
        <v>2075</v>
      </c>
      <c r="E21" s="1050"/>
      <c r="F21" s="523"/>
      <c r="G21" s="523"/>
      <c r="H21" s="523"/>
      <c r="I21" s="235"/>
      <c r="J21" s="233"/>
      <c r="K21" s="234"/>
      <c r="L21" s="1076" t="e">
        <f>INDEX(PT_DIFFERENTIATION_NUM_CS,MATCH(C19,PT_DIFFERENTIATION_CS_ID,0))</f>
        <v>#N/A</v>
      </c>
      <c r="M21" s="186" t="s">
        <v>325</v>
      </c>
      <c r="N21" s="175"/>
      <c r="O21" s="2386" t="e">
        <f>INDEX(PT_DIFFERENTIATION_CS,MATCH(C19,PT_DIFFERENTIATION_CS_ID,0))</f>
        <v>#N/A</v>
      </c>
      <c r="P21" s="2386"/>
      <c r="Q21" s="2386"/>
      <c r="R21" s="2386"/>
      <c r="S21" s="2386"/>
      <c r="T21" s="2386"/>
      <c r="U21" s="2386"/>
      <c r="V21" s="2386"/>
      <c r="W21" s="2386"/>
      <c r="X21" s="1044" t="s">
        <v>326</v>
      </c>
      <c r="Z21" s="368"/>
      <c r="AA21" s="368" t="str">
        <f t="shared" si="0"/>
        <v xml:space="preserve">Наименование системы теплоснабжения </v>
      </c>
      <c r="AB21" s="368"/>
      <c r="AC21" s="368"/>
    </row>
    <row r="22" spans="1:29" ht="21" customHeight="1">
      <c r="A22" s="1050" t="s">
        <v>2072</v>
      </c>
      <c r="B22" s="1050" t="s">
        <v>2073</v>
      </c>
      <c r="C22" s="1050" t="s">
        <v>2074</v>
      </c>
      <c r="D22" s="1050" t="s">
        <v>2075</v>
      </c>
      <c r="E22" s="1050"/>
      <c r="F22" s="523"/>
      <c r="G22" s="523"/>
      <c r="H22" s="523"/>
      <c r="I22" s="235"/>
      <c r="J22" s="233"/>
      <c r="K22" s="234"/>
      <c r="L22" s="1076" t="e">
        <f>INDEX(PT_DIFFERENTIATION_NUM_IST_TE,MATCH(D19,PT_DIFFERENTIATION_IST_TE_ID,0))</f>
        <v>#N/A</v>
      </c>
      <c r="M22" s="187" t="s">
        <v>327</v>
      </c>
      <c r="N22" s="175"/>
      <c r="O22" s="2386" t="e">
        <f>INDEX(PT_DIFFERENTIATION_IST_TE,MATCH(D19,PT_DIFFERENTIATION_IST_TE_ID,0))</f>
        <v>#N/A</v>
      </c>
      <c r="P22" s="2386"/>
      <c r="Q22" s="2386"/>
      <c r="R22" s="2386"/>
      <c r="S22" s="2386"/>
      <c r="T22" s="2386"/>
      <c r="U22" s="2386"/>
      <c r="V22" s="2386"/>
      <c r="W22" s="2386"/>
      <c r="X22" s="1044" t="s">
        <v>328</v>
      </c>
      <c r="Z22" s="368"/>
      <c r="AA22" s="368" t="str">
        <f t="shared" si="0"/>
        <v xml:space="preserve">Источник тепловой энергии  </v>
      </c>
      <c r="AB22" s="368"/>
      <c r="AC22" s="368"/>
    </row>
    <row r="23" spans="1:29" ht="94.5" customHeight="1">
      <c r="A23" s="1050" t="s">
        <v>2072</v>
      </c>
      <c r="B23" s="1050" t="s">
        <v>2073</v>
      </c>
      <c r="C23" s="1050" t="s">
        <v>2074</v>
      </c>
      <c r="D23" s="1050" t="s">
        <v>2075</v>
      </c>
      <c r="E23" s="1050"/>
      <c r="F23" s="1954" t="e">
        <f>L22&amp;".1"</f>
        <v>#N/A</v>
      </c>
      <c r="I23" s="2115">
        <v>1</v>
      </c>
      <c r="J23" s="1074"/>
      <c r="K23" s="237"/>
      <c r="L23" s="1076" t="e">
        <f>$F$23</f>
        <v>#N/A</v>
      </c>
      <c r="M23" s="161" t="s">
        <v>330</v>
      </c>
      <c r="N23" s="175"/>
      <c r="O23" s="2387"/>
      <c r="P23" s="2387"/>
      <c r="Q23" s="2387"/>
      <c r="R23" s="2387"/>
      <c r="S23" s="2387"/>
      <c r="T23" s="2387"/>
      <c r="U23" s="2387"/>
      <c r="V23" s="2387"/>
      <c r="W23" s="2387"/>
      <c r="X23" s="1044" t="s">
        <v>331</v>
      </c>
      <c r="Z23" s="368"/>
      <c r="AA23" s="368" t="str">
        <f t="shared" si="0"/>
        <v>Схема подключения теплопотребляющей установки к коллектору источника тепловой энергии</v>
      </c>
      <c r="AB23" s="368"/>
      <c r="AC23" s="368"/>
    </row>
    <row r="24" spans="1:29" ht="84" customHeight="1">
      <c r="A24" s="1050" t="s">
        <v>2072</v>
      </c>
      <c r="B24" s="1050" t="s">
        <v>2073</v>
      </c>
      <c r="C24" s="1050" t="s">
        <v>2074</v>
      </c>
      <c r="D24" s="1050" t="s">
        <v>2075</v>
      </c>
      <c r="E24" s="1050"/>
      <c r="F24" s="1954"/>
      <c r="G24" s="1954" t="e">
        <f>F23&amp;".1"</f>
        <v>#N/A</v>
      </c>
      <c r="I24" s="2115"/>
      <c r="J24" s="2115">
        <v>1</v>
      </c>
      <c r="K24" s="238"/>
      <c r="L24" s="1076" t="e">
        <f>$G$24</f>
        <v>#N/A</v>
      </c>
      <c r="M24" s="162" t="s">
        <v>333</v>
      </c>
      <c r="N24" s="175"/>
      <c r="O24" s="2388"/>
      <c r="P24" s="2389"/>
      <c r="Q24" s="2389"/>
      <c r="R24" s="2389"/>
      <c r="S24" s="2389"/>
      <c r="T24" s="2389"/>
      <c r="U24" s="2389"/>
      <c r="V24" s="2389"/>
      <c r="W24" s="2390"/>
      <c r="X24" s="1044" t="s">
        <v>334</v>
      </c>
      <c r="Z24" s="368"/>
      <c r="AA24" s="368" t="str">
        <f t="shared" si="0"/>
        <v>Группа потребителей</v>
      </c>
      <c r="AB24" s="368"/>
      <c r="AC24" s="368"/>
    </row>
    <row r="25" spans="1:29" ht="11.25" customHeight="1">
      <c r="A25" s="1050" t="s">
        <v>2072</v>
      </c>
      <c r="B25" s="1050" t="s">
        <v>2073</v>
      </c>
      <c r="C25" s="1050" t="s">
        <v>2074</v>
      </c>
      <c r="D25" s="1050" t="s">
        <v>2075</v>
      </c>
      <c r="E25" s="1050"/>
      <c r="F25" s="1954"/>
      <c r="G25" s="1954"/>
      <c r="H25" s="1954" t="e">
        <f>G24&amp;".1"</f>
        <v>#N/A</v>
      </c>
      <c r="I25" s="2115"/>
      <c r="J25" s="2115"/>
      <c r="K25" s="238">
        <v>1</v>
      </c>
      <c r="L25" s="1076" t="e">
        <f>$H$25</f>
        <v>#N/A</v>
      </c>
      <c r="M25" s="1045"/>
      <c r="N25" s="175"/>
      <c r="O25" s="576"/>
      <c r="P25" s="207"/>
      <c r="Q25" s="576"/>
      <c r="R25" s="1043"/>
      <c r="S25" s="2116"/>
      <c r="T25" s="2109" t="s">
        <v>16</v>
      </c>
      <c r="U25" s="2116"/>
      <c r="V25" s="2109" t="s">
        <v>15</v>
      </c>
      <c r="W25" s="207"/>
      <c r="X25" s="2134" t="s">
        <v>336</v>
      </c>
      <c r="Y25" s="379" t="e">
        <f ca="1">STRCHECKDATE(O26:W26)</f>
        <v>#NAME?</v>
      </c>
      <c r="Z25" s="368"/>
      <c r="AA25" s="368" t="str">
        <f t="shared" si="0"/>
        <v/>
      </c>
      <c r="AB25" s="368"/>
      <c r="AC25" s="368"/>
    </row>
    <row r="26" spans="1:29" ht="11.25" customHeight="1">
      <c r="A26" s="1050" t="s">
        <v>2072</v>
      </c>
      <c r="B26" s="1050" t="s">
        <v>2073</v>
      </c>
      <c r="C26" s="1050" t="s">
        <v>2074</v>
      </c>
      <c r="D26" s="1050" t="s">
        <v>2075</v>
      </c>
      <c r="E26" s="1050"/>
      <c r="F26" s="1954"/>
      <c r="G26" s="1954"/>
      <c r="H26" s="1954"/>
      <c r="I26" s="2115"/>
      <c r="J26" s="2115"/>
      <c r="K26" s="238"/>
      <c r="L26" s="1077"/>
      <c r="M26" s="175"/>
      <c r="N26" s="175"/>
      <c r="O26" s="207"/>
      <c r="P26" s="207"/>
      <c r="Q26" s="207"/>
      <c r="R26" s="211" t="str">
        <f>S25&amp;"-"&amp;U25</f>
        <v>-</v>
      </c>
      <c r="S26" s="2117"/>
      <c r="T26" s="2109"/>
      <c r="U26" s="2117"/>
      <c r="V26" s="2109"/>
      <c r="W26" s="207"/>
      <c r="X26" s="2135"/>
      <c r="Z26" s="368"/>
      <c r="AA26" s="368" t="str">
        <f t="shared" si="0"/>
        <v/>
      </c>
      <c r="AB26" s="368"/>
      <c r="AC26" s="368"/>
    </row>
    <row r="27" spans="1:29" ht="15" customHeight="1">
      <c r="A27" s="1050" t="s">
        <v>2072</v>
      </c>
      <c r="B27" s="1050" t="s">
        <v>2073</v>
      </c>
      <c r="C27" s="1050" t="s">
        <v>2074</v>
      </c>
      <c r="D27" s="1050" t="s">
        <v>2075</v>
      </c>
      <c r="E27" s="1050"/>
      <c r="F27" s="1954"/>
      <c r="G27" s="1954"/>
      <c r="I27" s="2115"/>
      <c r="J27" s="2115"/>
      <c r="K27" s="237"/>
      <c r="L27" s="1062"/>
      <c r="M27" s="164" t="s">
        <v>337</v>
      </c>
      <c r="N27" s="251"/>
      <c r="O27" s="251"/>
      <c r="P27" s="251"/>
      <c r="Q27" s="251"/>
      <c r="R27" s="251"/>
      <c r="S27" s="251"/>
      <c r="T27" s="251"/>
      <c r="U27" s="251"/>
      <c r="V27" s="251"/>
      <c r="W27" s="206"/>
      <c r="X27" s="2136"/>
      <c r="Z27" s="368"/>
      <c r="AA27" s="368" t="str">
        <f t="shared" si="0"/>
        <v>Добавить вид теплоносителя (параметры теплоносителя)</v>
      </c>
      <c r="AB27" s="368"/>
      <c r="AC27" s="368"/>
    </row>
    <row r="28" spans="1:29" ht="15" customHeight="1">
      <c r="A28" s="1050" t="s">
        <v>2072</v>
      </c>
      <c r="B28" s="1050" t="s">
        <v>2073</v>
      </c>
      <c r="C28" s="1050" t="s">
        <v>2074</v>
      </c>
      <c r="D28" s="1050" t="s">
        <v>2075</v>
      </c>
      <c r="E28" s="1050"/>
      <c r="F28" s="1954"/>
      <c r="I28" s="2115"/>
      <c r="J28" s="1074"/>
      <c r="K28" s="237"/>
      <c r="L28" s="1062"/>
      <c r="M28" s="163" t="s">
        <v>338</v>
      </c>
      <c r="N28" s="251"/>
      <c r="O28" s="251"/>
      <c r="P28" s="251"/>
      <c r="Q28" s="251"/>
      <c r="R28" s="251"/>
      <c r="S28" s="251"/>
      <c r="T28" s="251"/>
      <c r="U28" s="251"/>
      <c r="V28" s="250"/>
      <c r="W28" s="251"/>
      <c r="X28" s="178"/>
      <c r="Z28" s="368"/>
      <c r="AA28" s="368" t="str">
        <f t="shared" si="0"/>
        <v>Добавить группу потребителей</v>
      </c>
      <c r="AB28" s="368"/>
      <c r="AC28" s="368"/>
    </row>
    <row r="29" spans="1:29" ht="14.25" customHeight="1">
      <c r="A29" s="1050" t="s">
        <v>2072</v>
      </c>
      <c r="B29" s="1050" t="s">
        <v>2073</v>
      </c>
      <c r="C29" s="1050" t="s">
        <v>2074</v>
      </c>
      <c r="D29" s="1050" t="s">
        <v>2075</v>
      </c>
      <c r="E29" s="1050"/>
      <c r="F29" s="523"/>
      <c r="G29" s="523"/>
      <c r="H29" s="377"/>
      <c r="I29" s="241"/>
      <c r="J29" s="260"/>
      <c r="K29" s="236"/>
      <c r="L29" s="1062"/>
      <c r="M29" s="248" t="s">
        <v>339</v>
      </c>
      <c r="N29" s="251"/>
      <c r="O29" s="251"/>
      <c r="P29" s="251"/>
      <c r="Q29" s="251"/>
      <c r="R29" s="251"/>
      <c r="S29" s="251"/>
      <c r="T29" s="251"/>
      <c r="U29" s="251"/>
      <c r="V29" s="250"/>
      <c r="W29" s="251"/>
      <c r="X29" s="178"/>
      <c r="Z29" s="368"/>
      <c r="AA29" s="368" t="str">
        <f t="shared" si="0"/>
        <v>Добавить схему подключения</v>
      </c>
      <c r="AB29" s="368"/>
      <c r="AC29" s="368"/>
    </row>
    <row r="30" spans="1:29" ht="14.25" customHeight="1">
      <c r="A30" s="1050" t="s">
        <v>2072</v>
      </c>
      <c r="B30" s="1050" t="s">
        <v>2073</v>
      </c>
      <c r="C30" s="1050" t="s">
        <v>2074</v>
      </c>
      <c r="D30" s="1050"/>
      <c r="E30" s="1050" t="s">
        <v>504</v>
      </c>
      <c r="F30" s="523"/>
      <c r="G30" s="523"/>
      <c r="H30" s="377"/>
      <c r="I30" s="241"/>
      <c r="J30" s="260"/>
      <c r="K30" s="236"/>
      <c r="L30" s="1063"/>
      <c r="M30" s="1052"/>
      <c r="N30" s="1053"/>
      <c r="O30" s="1053"/>
      <c r="P30" s="1053"/>
      <c r="Q30" s="1053"/>
      <c r="R30" s="1053"/>
      <c r="S30" s="1053"/>
      <c r="T30" s="1053"/>
      <c r="U30" s="1053"/>
      <c r="V30" s="1054"/>
      <c r="W30" s="1053"/>
      <c r="X30" s="1055"/>
      <c r="Z30" s="368"/>
      <c r="AA30" s="368" t="str">
        <f t="shared" si="0"/>
        <v/>
      </c>
      <c r="AB30" s="368"/>
      <c r="AC30" s="368"/>
    </row>
    <row r="31" spans="1:29" ht="14.25" customHeight="1">
      <c r="A31" s="1050" t="s">
        <v>2072</v>
      </c>
      <c r="B31" s="1050" t="s">
        <v>2073</v>
      </c>
      <c r="C31" s="1050"/>
      <c r="D31" s="1050"/>
      <c r="E31" s="1050" t="s">
        <v>2063</v>
      </c>
      <c r="F31" s="1041"/>
      <c r="G31" s="1041"/>
      <c r="H31" s="377"/>
      <c r="I31" s="239"/>
      <c r="J31" s="260"/>
      <c r="K31" s="240"/>
      <c r="L31" s="1063"/>
      <c r="M31" s="1056"/>
      <c r="N31" s="1053"/>
      <c r="O31" s="1053"/>
      <c r="P31" s="1053"/>
      <c r="Q31" s="1053"/>
      <c r="R31" s="1053"/>
      <c r="S31" s="1053"/>
      <c r="T31" s="1053"/>
      <c r="U31" s="1053"/>
      <c r="V31" s="1054"/>
      <c r="W31" s="1053"/>
      <c r="X31" s="1055"/>
      <c r="Z31" s="368"/>
      <c r="AA31" s="368" t="str">
        <f t="shared" si="0"/>
        <v/>
      </c>
      <c r="AB31" s="368"/>
      <c r="AC31" s="368"/>
    </row>
    <row r="32" spans="1:29" ht="14.25" customHeight="1">
      <c r="A32" s="1050" t="s">
        <v>2076</v>
      </c>
      <c r="B32" s="1050"/>
      <c r="C32" s="1050"/>
      <c r="D32" s="1050"/>
      <c r="E32" s="1050" t="s">
        <v>38</v>
      </c>
      <c r="F32" s="1041"/>
      <c r="G32" s="1041"/>
      <c r="H32" s="377"/>
      <c r="I32" s="241"/>
      <c r="J32" s="260"/>
      <c r="K32" s="236"/>
      <c r="L32" s="1063"/>
      <c r="M32" s="1057"/>
      <c r="N32" s="1053"/>
      <c r="O32" s="1053"/>
      <c r="P32" s="1053"/>
      <c r="Q32" s="1053"/>
      <c r="R32" s="1053"/>
      <c r="S32" s="1053"/>
      <c r="T32" s="1053"/>
      <c r="U32" s="1053"/>
      <c r="V32" s="1054"/>
      <c r="W32" s="1053"/>
      <c r="X32" s="1055"/>
      <c r="Z32" s="368"/>
      <c r="AA32" s="368" t="str">
        <f t="shared" si="0"/>
        <v/>
      </c>
      <c r="AB32" s="368"/>
      <c r="AC32" s="368"/>
    </row>
    <row r="33" spans="1:29" s="1829" customFormat="1" ht="11.25" customHeight="1">
      <c r="A33" s="1050"/>
      <c r="B33" s="1050"/>
      <c r="C33" s="1050"/>
      <c r="D33" s="1050"/>
      <c r="E33" s="1050" t="s">
        <v>374</v>
      </c>
      <c r="F33" s="1051"/>
      <c r="G33" s="1042"/>
      <c r="H33" s="377"/>
      <c r="L33" s="1064"/>
      <c r="M33" s="1058"/>
      <c r="N33" s="1053"/>
      <c r="O33" s="1053"/>
      <c r="P33" s="1053"/>
      <c r="Q33" s="1053"/>
      <c r="R33" s="1053"/>
      <c r="S33" s="1053"/>
      <c r="T33" s="1053"/>
      <c r="U33" s="1053"/>
      <c r="V33" s="1054"/>
      <c r="W33" s="1053"/>
      <c r="X33" s="1055"/>
      <c r="Y33" s="267"/>
      <c r="Z33" s="267"/>
      <c r="AA33" s="267"/>
      <c r="AB33" s="267"/>
      <c r="AC33" s="267"/>
    </row>
    <row r="34" spans="1:29" ht="11.25" customHeight="1">
      <c r="F34" s="924"/>
      <c r="G34" s="924"/>
      <c r="H34" s="377"/>
      <c r="I34" s="924"/>
      <c r="J34" s="924"/>
      <c r="K34" s="924"/>
      <c r="Y34" s="924"/>
      <c r="Z34" s="924"/>
      <c r="AA34" s="924"/>
      <c r="AB34" s="924"/>
      <c r="AC34" s="924"/>
    </row>
    <row r="35" spans="1:29" ht="27" customHeight="1">
      <c r="H35" s="377"/>
      <c r="L35" s="1071" t="s">
        <v>637</v>
      </c>
      <c r="M35" s="2110" t="s">
        <v>2065</v>
      </c>
      <c r="N35" s="2110"/>
      <c r="O35" s="2110"/>
      <c r="P35" s="2110"/>
      <c r="Q35" s="2110"/>
      <c r="R35" s="2110"/>
      <c r="S35" s="2110"/>
      <c r="T35" s="2110"/>
      <c r="U35" s="2110"/>
      <c r="V35" s="2110"/>
      <c r="W35" s="2110"/>
      <c r="X35" s="2110"/>
    </row>
    <row r="36" spans="1:29" ht="104.25" customHeight="1">
      <c r="F36" s="1086"/>
      <c r="G36" s="1086"/>
      <c r="H36" s="377"/>
      <c r="I36" s="1086"/>
      <c r="M36" s="2110" t="s">
        <v>2066</v>
      </c>
      <c r="N36" s="2110"/>
      <c r="O36" s="2110"/>
      <c r="P36" s="2110"/>
      <c r="Q36" s="2110"/>
      <c r="R36" s="2110"/>
      <c r="S36" s="2110"/>
      <c r="T36" s="2110"/>
      <c r="U36" s="2110"/>
      <c r="V36" s="2110"/>
      <c r="W36" s="2110"/>
      <c r="X36" s="2110"/>
    </row>
    <row r="37" spans="1:29" ht="14.25" customHeight="1">
      <c r="H37" s="377"/>
    </row>
    <row r="38" spans="1:29" ht="14.25" customHeight="1">
      <c r="H38" s="377"/>
    </row>
    <row r="39" spans="1:29" ht="14.25" customHeight="1">
      <c r="H39" s="377"/>
    </row>
    <row r="40" spans="1:29" ht="14.25" customHeight="1">
      <c r="H40" s="377"/>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theme="6" tint="0.39997558519241921"/>
  </sheetPr>
  <dimension ref="A1:AC32"/>
  <sheetViews>
    <sheetView showGridLines="0" topLeftCell="A4" workbookViewId="0"/>
  </sheetViews>
  <sheetFormatPr defaultColWidth="10.5703125" defaultRowHeight="14.25" customHeight="1"/>
  <cols>
    <col min="1" max="6" width="10.5703125" style="1622"/>
    <col min="7" max="8" width="9.140625" style="1698" customWidth="1"/>
    <col min="9" max="9" width="3.7109375" style="1694" customWidth="1"/>
    <col min="10" max="11" width="3.7109375" style="1695" customWidth="1"/>
    <col min="12" max="12" width="12.7109375" style="1661" customWidth="1"/>
    <col min="13" max="13" width="47.42578125" style="1661" customWidth="1"/>
    <col min="14" max="14" width="2.7109375" style="1661" hidden="1" customWidth="1"/>
    <col min="15" max="18" width="23.7109375" style="1661" customWidth="1"/>
    <col min="19" max="19" width="11.7109375" style="1661" customWidth="1"/>
    <col min="20" max="20" width="3.7109375" style="1661" customWidth="1"/>
    <col min="21" max="21" width="11.7109375" style="1661" customWidth="1"/>
    <col min="22" max="22" width="8.5703125" style="1661" hidden="1" customWidth="1"/>
    <col min="23" max="23" width="4.7109375" style="1661" customWidth="1"/>
    <col min="24" max="24" width="115.7109375" style="1661" customWidth="1"/>
    <col min="25" max="29" width="10.5703125" style="1622"/>
  </cols>
  <sheetData>
    <row r="1" spans="1:29" ht="14.25" hidden="1" customHeight="1"/>
    <row r="2" spans="1:29" ht="14.25" hidden="1" customHeight="1"/>
    <row r="3" spans="1:29" ht="14.25" hidden="1" customHeight="1"/>
    <row r="4" spans="1:29" ht="14.25" customHeight="1">
      <c r="J4" s="261"/>
      <c r="K4" s="261"/>
      <c r="L4" s="246"/>
      <c r="M4" s="246"/>
      <c r="N4" s="246"/>
      <c r="O4" s="377"/>
      <c r="P4" s="377"/>
      <c r="Q4" s="377"/>
      <c r="R4" s="377"/>
      <c r="S4" s="377"/>
      <c r="T4" s="377"/>
      <c r="U4" s="377"/>
      <c r="V4" s="246"/>
    </row>
    <row r="5" spans="1:29" ht="14.25" customHeight="1">
      <c r="J5" s="261"/>
      <c r="K5" s="261"/>
      <c r="L5" s="2397" t="s">
        <v>2077</v>
      </c>
      <c r="M5" s="2397"/>
      <c r="N5" s="2397"/>
      <c r="O5" s="2397"/>
      <c r="P5" s="2397"/>
      <c r="Q5" s="2397"/>
      <c r="R5" s="2397"/>
      <c r="S5" s="2397"/>
      <c r="T5" s="2397"/>
      <c r="U5" s="153"/>
      <c r="V5" s="153"/>
    </row>
    <row r="6" spans="1:29" ht="14.25" customHeight="1">
      <c r="J6" s="261"/>
      <c r="K6" s="261"/>
      <c r="L6" s="246"/>
      <c r="M6" s="246"/>
      <c r="N6" s="246"/>
      <c r="O6" s="203"/>
      <c r="P6" s="203"/>
      <c r="Q6" s="203"/>
      <c r="R6" s="203"/>
      <c r="S6" s="203"/>
      <c r="T6" s="203"/>
      <c r="U6" s="246"/>
    </row>
    <row r="7" spans="1:29" s="1692" customFormat="1" ht="22.5" customHeight="1">
      <c r="A7" s="252"/>
      <c r="B7" s="252"/>
      <c r="C7" s="252"/>
      <c r="D7" s="252"/>
      <c r="E7" s="252"/>
      <c r="F7" s="252"/>
      <c r="G7" s="252"/>
      <c r="H7" s="252"/>
      <c r="L7" s="154"/>
      <c r="M7" s="170" t="s">
        <v>6</v>
      </c>
      <c r="N7" s="179"/>
      <c r="O7" s="2398" t="e">
        <f>IF(NameOrPr_ch="",IF(NameOrPr="","",NameOrPr),NameOrPr_ch)</f>
        <v>#NAME?</v>
      </c>
      <c r="P7" s="2399"/>
      <c r="Q7" s="2399"/>
      <c r="R7" s="2399"/>
      <c r="S7" s="2399"/>
      <c r="T7" s="2400"/>
      <c r="U7" s="1024"/>
      <c r="Y7" s="252"/>
      <c r="Z7" s="252"/>
      <c r="AA7" s="252"/>
      <c r="AB7" s="252"/>
      <c r="AC7" s="252"/>
    </row>
    <row r="8" spans="1:29" s="1692" customFormat="1" ht="18.75" customHeight="1">
      <c r="A8" s="252"/>
      <c r="B8" s="252"/>
      <c r="C8" s="252"/>
      <c r="D8" s="252"/>
      <c r="E8" s="252"/>
      <c r="F8" s="252"/>
      <c r="G8" s="252"/>
      <c r="H8" s="252"/>
      <c r="L8" s="154"/>
      <c r="M8" s="170" t="s">
        <v>349</v>
      </c>
      <c r="N8" s="179"/>
      <c r="O8" s="2398" t="e">
        <f>IF(datePr_ch="",IF(datePr="","",datePr),datePr_ch)</f>
        <v>#NAME?</v>
      </c>
      <c r="P8" s="2399"/>
      <c r="Q8" s="2399"/>
      <c r="R8" s="2399"/>
      <c r="S8" s="2399"/>
      <c r="T8" s="2400"/>
      <c r="U8" s="1024"/>
      <c r="Y8" s="252"/>
      <c r="Z8" s="252"/>
      <c r="AA8" s="252"/>
      <c r="AB8" s="252"/>
      <c r="AC8" s="252"/>
    </row>
    <row r="9" spans="1:29" s="1692" customFormat="1" ht="18.75" customHeight="1">
      <c r="A9" s="252"/>
      <c r="B9" s="252"/>
      <c r="C9" s="252"/>
      <c r="D9" s="252"/>
      <c r="E9" s="252"/>
      <c r="F9" s="252"/>
      <c r="G9" s="252"/>
      <c r="H9" s="252"/>
      <c r="L9" s="205"/>
      <c r="M9" s="170" t="s">
        <v>350</v>
      </c>
      <c r="N9" s="179"/>
      <c r="O9" s="2398" t="e">
        <f>IF(numberPr_ch="",IF(numberPr="","",numberPr),numberPr_ch)</f>
        <v>#NAME?</v>
      </c>
      <c r="P9" s="2399"/>
      <c r="Q9" s="2399"/>
      <c r="R9" s="2399"/>
      <c r="S9" s="2399"/>
      <c r="T9" s="2400"/>
      <c r="U9" s="1024"/>
      <c r="Y9" s="252"/>
      <c r="Z9" s="252"/>
      <c r="AA9" s="252"/>
      <c r="AB9" s="252"/>
      <c r="AC9" s="252"/>
    </row>
    <row r="10" spans="1:29" s="1692" customFormat="1" ht="18.75" customHeight="1">
      <c r="A10" s="252"/>
      <c r="B10" s="252"/>
      <c r="C10" s="252"/>
      <c r="D10" s="252"/>
      <c r="E10" s="252"/>
      <c r="F10" s="252"/>
      <c r="G10" s="252"/>
      <c r="H10" s="252"/>
      <c r="L10" s="205"/>
      <c r="M10" s="170" t="s">
        <v>7</v>
      </c>
      <c r="N10" s="179"/>
      <c r="O10" s="2398" t="e">
        <f>IF(IstPub_ch="",IF(IstPub="","",IstPub),IstPub_ch)</f>
        <v>#NAME?</v>
      </c>
      <c r="P10" s="2399"/>
      <c r="Q10" s="2399"/>
      <c r="R10" s="2399"/>
      <c r="S10" s="2399"/>
      <c r="T10" s="2400"/>
      <c r="U10" s="1024"/>
      <c r="Y10" s="252"/>
      <c r="Z10" s="252"/>
      <c r="AA10" s="252"/>
      <c r="AB10" s="252"/>
      <c r="AC10" s="252"/>
    </row>
    <row r="11" spans="1:29" s="1647" customFormat="1" ht="18.75" hidden="1" customHeight="1">
      <c r="A11" s="1028"/>
      <c r="B11" s="1028"/>
      <c r="C11" s="1028"/>
      <c r="D11" s="1028"/>
      <c r="E11" s="1028"/>
      <c r="F11" s="1028"/>
      <c r="G11" s="1028"/>
      <c r="H11" s="1028"/>
      <c r="L11" s="205"/>
      <c r="M11" s="202"/>
      <c r="O11" s="1029"/>
      <c r="P11" s="1029"/>
      <c r="Q11" s="252" t="s">
        <v>2078</v>
      </c>
      <c r="R11" s="252" t="s">
        <v>2079</v>
      </c>
      <c r="S11" s="1029"/>
      <c r="T11" s="1029"/>
      <c r="U11" s="1024"/>
      <c r="Y11" s="1028"/>
      <c r="Z11" s="1028"/>
      <c r="AA11" s="1028"/>
      <c r="AB11" s="1028"/>
      <c r="AC11" s="1028"/>
    </row>
    <row r="12" spans="1:29" s="1692" customFormat="1" ht="11.25" hidden="1" customHeight="1">
      <c r="A12" s="252"/>
      <c r="B12" s="252"/>
      <c r="C12" s="252"/>
      <c r="D12" s="252"/>
      <c r="E12" s="252"/>
      <c r="F12" s="252"/>
      <c r="G12" s="252"/>
      <c r="H12" s="252"/>
      <c r="L12" s="2391"/>
      <c r="M12" s="2391"/>
      <c r="N12" s="991"/>
      <c r="O12" s="209"/>
      <c r="P12" s="209"/>
      <c r="Q12" s="209"/>
      <c r="R12" s="209"/>
      <c r="S12" s="209"/>
      <c r="T12" s="209"/>
      <c r="U12" s="1027"/>
      <c r="V12" s="155" t="s">
        <v>353</v>
      </c>
      <c r="Y12" s="252"/>
      <c r="Z12" s="252"/>
      <c r="AA12" s="252"/>
      <c r="AB12" s="252"/>
      <c r="AC12" s="252"/>
    </row>
    <row r="13" spans="1:29" ht="14.25" customHeight="1">
      <c r="J13" s="261"/>
      <c r="K13" s="261"/>
      <c r="L13" s="246"/>
      <c r="M13" s="246"/>
      <c r="N13" s="246"/>
      <c r="O13" s="1030"/>
      <c r="P13" s="1030"/>
      <c r="Q13" s="2395"/>
      <c r="R13" s="2395"/>
      <c r="S13" s="2395"/>
      <c r="T13" s="2395"/>
      <c r="U13" s="2395"/>
      <c r="V13" s="2395"/>
    </row>
    <row r="14" spans="1:29" ht="14.25" customHeight="1">
      <c r="J14" s="261"/>
      <c r="K14" s="261"/>
      <c r="L14" s="2025" t="s">
        <v>224</v>
      </c>
      <c r="M14" s="2025"/>
      <c r="N14" s="2025"/>
      <c r="O14" s="2025"/>
      <c r="P14" s="2025"/>
      <c r="Q14" s="2025"/>
      <c r="R14" s="2025"/>
      <c r="S14" s="2025"/>
      <c r="T14" s="2025"/>
      <c r="U14" s="2025"/>
      <c r="V14" s="2025"/>
      <c r="W14" s="2025"/>
      <c r="X14" s="2025" t="s">
        <v>225</v>
      </c>
    </row>
    <row r="15" spans="1:29" ht="14.25" customHeight="1">
      <c r="J15" s="261"/>
      <c r="K15" s="261"/>
      <c r="L15" s="2068" t="s">
        <v>22</v>
      </c>
      <c r="M15" s="2068" t="s">
        <v>2080</v>
      </c>
      <c r="N15" s="990"/>
      <c r="O15" s="2068" t="s">
        <v>2081</v>
      </c>
      <c r="P15" s="2067" t="s">
        <v>2082</v>
      </c>
      <c r="Q15" s="2067" t="s">
        <v>2062</v>
      </c>
      <c r="R15" s="2067"/>
      <c r="S15" s="2067"/>
      <c r="T15" s="2067"/>
      <c r="U15" s="2067"/>
      <c r="V15" s="2068" t="s">
        <v>356</v>
      </c>
      <c r="W15" s="2396" t="s">
        <v>980</v>
      </c>
      <c r="X15" s="2025"/>
    </row>
    <row r="16" spans="1:29" ht="25.5" customHeight="1">
      <c r="J16" s="261"/>
      <c r="K16" s="261"/>
      <c r="L16" s="2068"/>
      <c r="M16" s="2068"/>
      <c r="N16" s="990"/>
      <c r="O16" s="2068"/>
      <c r="P16" s="2067"/>
      <c r="Q16" s="2067" t="s">
        <v>2083</v>
      </c>
      <c r="R16" s="2067"/>
      <c r="S16" s="2025" t="s">
        <v>375</v>
      </c>
      <c r="T16" s="2025"/>
      <c r="U16" s="2025"/>
      <c r="V16" s="2068"/>
      <c r="W16" s="2396"/>
      <c r="X16" s="2025"/>
    </row>
    <row r="17" spans="1:29" ht="14.25" customHeight="1">
      <c r="J17" s="261"/>
      <c r="K17" s="261"/>
      <c r="L17" s="2068"/>
      <c r="M17" s="2068"/>
      <c r="N17" s="990"/>
      <c r="O17" s="2068"/>
      <c r="P17" s="2067"/>
      <c r="Q17" s="990" t="s">
        <v>404</v>
      </c>
      <c r="R17" s="990" t="s">
        <v>405</v>
      </c>
      <c r="S17" s="994" t="s">
        <v>372</v>
      </c>
      <c r="T17" s="2034" t="s">
        <v>373</v>
      </c>
      <c r="U17" s="2034"/>
      <c r="V17" s="2068"/>
      <c r="W17" s="2396"/>
      <c r="X17" s="2025"/>
    </row>
    <row r="18" spans="1:29" ht="14.25" customHeight="1">
      <c r="J18" s="261"/>
      <c r="K18" s="167">
        <v>1</v>
      </c>
      <c r="L18" s="322" t="s">
        <v>43</v>
      </c>
      <c r="M18" s="322" t="s">
        <v>44</v>
      </c>
      <c r="N18" s="1026" t="s">
        <v>44</v>
      </c>
      <c r="O18" s="992">
        <f t="shared" ref="O18:T18" ca="1" si="0">OFFSET(O18,0,-1)+1</f>
        <v>3</v>
      </c>
      <c r="P18" s="992">
        <f t="shared" ca="1" si="0"/>
        <v>4</v>
      </c>
      <c r="Q18" s="992">
        <f t="shared" ca="1" si="0"/>
        <v>5</v>
      </c>
      <c r="R18" s="992">
        <f t="shared" ca="1" si="0"/>
        <v>6</v>
      </c>
      <c r="S18" s="992">
        <f t="shared" ca="1" si="0"/>
        <v>7</v>
      </c>
      <c r="T18" s="2394">
        <f t="shared" ca="1" si="0"/>
        <v>8</v>
      </c>
      <c r="U18" s="2394"/>
      <c r="V18" s="992">
        <f ca="1">OFFSET(V18,0,-2)+1</f>
        <v>9</v>
      </c>
      <c r="X18" s="992">
        <f ca="1">OFFSET(X18,0,-2)+1</f>
        <v>10</v>
      </c>
    </row>
    <row r="19" spans="1:29" ht="22.5" customHeight="1">
      <c r="A19" s="2115">
        <v>1</v>
      </c>
      <c r="B19" s="386"/>
      <c r="C19" s="386"/>
      <c r="D19" s="386"/>
      <c r="E19" s="386"/>
      <c r="F19" s="386"/>
      <c r="G19" s="268"/>
      <c r="H19" s="268"/>
      <c r="I19" s="242"/>
      <c r="J19" s="261"/>
      <c r="K19" s="261"/>
      <c r="L19" s="999" t="e">
        <f ca="1">MERGEVALUE(A19)</f>
        <v>#NAME?</v>
      </c>
      <c r="M19" s="173" t="s">
        <v>61</v>
      </c>
      <c r="N19" s="192"/>
      <c r="O19" s="2299"/>
      <c r="P19" s="2299"/>
      <c r="Q19" s="2299"/>
      <c r="R19" s="2299"/>
      <c r="S19" s="2299"/>
      <c r="T19" s="2299"/>
      <c r="U19" s="2299"/>
      <c r="V19" s="2299"/>
      <c r="W19" s="2299"/>
      <c r="X19" s="227" t="s">
        <v>322</v>
      </c>
    </row>
    <row r="20" spans="1:29" ht="22.5" customHeight="1">
      <c r="A20" s="2115"/>
      <c r="B20" s="2115">
        <v>1</v>
      </c>
      <c r="C20" s="386"/>
      <c r="D20" s="386"/>
      <c r="E20" s="386"/>
      <c r="F20" s="386"/>
      <c r="G20" s="270"/>
      <c r="H20" s="993"/>
      <c r="I20" s="244"/>
      <c r="J20" s="1000"/>
      <c r="K20" s="924"/>
      <c r="L20" s="999" t="e">
        <f ca="1">MERGEVALUE(A20)&amp;"."&amp;MERGEVALUE(B20)</f>
        <v>#NAME?</v>
      </c>
      <c r="M20" s="185" t="s">
        <v>323</v>
      </c>
      <c r="N20" s="192"/>
      <c r="O20" s="2299"/>
      <c r="P20" s="2299"/>
      <c r="Q20" s="2299"/>
      <c r="R20" s="2299"/>
      <c r="S20" s="2299"/>
      <c r="T20" s="2299"/>
      <c r="U20" s="2299"/>
      <c r="V20" s="2299"/>
      <c r="W20" s="2299"/>
      <c r="X20" s="227" t="s">
        <v>324</v>
      </c>
    </row>
    <row r="21" spans="1:29" ht="22.5" customHeight="1">
      <c r="A21" s="2115"/>
      <c r="B21" s="2115"/>
      <c r="C21" s="2115">
        <v>1</v>
      </c>
      <c r="D21" s="386"/>
      <c r="E21" s="386"/>
      <c r="F21" s="386"/>
      <c r="G21" s="270"/>
      <c r="H21" s="993"/>
      <c r="I21" s="245"/>
      <c r="J21" s="1000"/>
      <c r="K21" s="924"/>
      <c r="L21" s="999" t="e">
        <f ca="1">MERGEVALUE(A21)&amp;"."&amp;MERGEVALUE(B21)&amp;"."&amp;MERGEVALUE(C21)</f>
        <v>#NAME?</v>
      </c>
      <c r="M21" s="186" t="s">
        <v>325</v>
      </c>
      <c r="N21" s="192"/>
      <c r="O21" s="2299"/>
      <c r="P21" s="2299"/>
      <c r="Q21" s="2299"/>
      <c r="R21" s="2299"/>
      <c r="S21" s="2299"/>
      <c r="T21" s="2299"/>
      <c r="U21" s="2299"/>
      <c r="V21" s="2299"/>
      <c r="W21" s="2299"/>
      <c r="X21" s="227" t="s">
        <v>326</v>
      </c>
    </row>
    <row r="22" spans="1:29" ht="14.25" customHeight="1">
      <c r="A22" s="2115"/>
      <c r="B22" s="2115"/>
      <c r="C22" s="2115"/>
      <c r="D22" s="2115">
        <v>1</v>
      </c>
      <c r="E22" s="386"/>
      <c r="F22" s="386"/>
      <c r="G22" s="270"/>
      <c r="H22" s="993"/>
      <c r="I22" s="245"/>
      <c r="J22" s="243"/>
      <c r="K22" s="924"/>
      <c r="L22" s="999" t="e">
        <f ca="1">MERGEVALUE(A22)&amp;"."&amp;MERGEVALUE(B22)&amp;"."&amp;MERGEVALUE(C22)&amp;"."&amp;MERGEVALUE(D22)</f>
        <v>#NAME?</v>
      </c>
      <c r="M22" s="187" t="s">
        <v>327</v>
      </c>
      <c r="N22" s="192"/>
      <c r="O22" s="2299"/>
      <c r="P22" s="2299"/>
      <c r="Q22" s="2299"/>
      <c r="R22" s="2299"/>
      <c r="S22" s="2299"/>
      <c r="T22" s="2299"/>
      <c r="U22" s="2299"/>
      <c r="V22" s="2299"/>
      <c r="W22" s="2299"/>
      <c r="X22" s="220" t="s">
        <v>2084</v>
      </c>
    </row>
    <row r="23" spans="1:29" ht="22.5" customHeight="1">
      <c r="A23" s="2115"/>
      <c r="B23" s="2115"/>
      <c r="C23" s="2115"/>
      <c r="D23" s="2115"/>
      <c r="E23" s="386">
        <v>1</v>
      </c>
      <c r="F23" s="386"/>
      <c r="G23" s="270"/>
      <c r="H23" s="993"/>
      <c r="I23" s="245"/>
      <c r="J23" s="243"/>
      <c r="K23" s="324"/>
      <c r="L23" s="999" t="e">
        <f ca="1">MERGEVALUE(A23)&amp;"."&amp;MERGEVALUE(B23)&amp;"."&amp;MERGEVALUE(C23)&amp;"."&amp;MERGEVALUE(D23)&amp;"."&amp;MERGEVALUE(E23)</f>
        <v>#NAME?</v>
      </c>
      <c r="M23" s="263"/>
      <c r="N23" s="996"/>
      <c r="O23" s="265"/>
      <c r="P23" s="266"/>
      <c r="Q23" s="180"/>
      <c r="R23" s="180"/>
      <c r="S23" s="1474"/>
      <c r="T23" s="989" t="s">
        <v>15</v>
      </c>
      <c r="U23" s="1032"/>
      <c r="V23" s="989" t="s">
        <v>15</v>
      </c>
      <c r="W23" s="1033"/>
      <c r="X23" s="2022" t="s">
        <v>2085</v>
      </c>
      <c r="Y23" s="379" t="e">
        <f ca="1">STRCHECKDATETWO(N23:W23)</f>
        <v>#NAME?</v>
      </c>
    </row>
    <row r="24" spans="1:29" ht="14.25" hidden="1" customHeight="1">
      <c r="A24" s="2115"/>
      <c r="B24" s="2115"/>
      <c r="C24" s="2115"/>
      <c r="D24" s="2115"/>
      <c r="E24" s="386"/>
      <c r="F24" s="386"/>
      <c r="G24" s="270"/>
      <c r="H24" s="993"/>
      <c r="I24" s="245"/>
      <c r="J24" s="243"/>
      <c r="K24" s="324"/>
      <c r="L24" s="998"/>
      <c r="M24" s="188"/>
      <c r="N24" s="175"/>
      <c r="O24" s="175"/>
      <c r="P24" s="175"/>
      <c r="Q24" s="175"/>
      <c r="R24" s="211" t="str">
        <f>S23&amp;"-"&amp;U23</f>
        <v>-</v>
      </c>
      <c r="S24" s="196"/>
      <c r="T24" s="193"/>
      <c r="U24" s="196"/>
      <c r="V24" s="175"/>
      <c r="W24" s="1034"/>
      <c r="X24" s="2023"/>
    </row>
    <row r="25" spans="1:29" ht="14.25" customHeight="1">
      <c r="A25" s="2115"/>
      <c r="B25" s="2115"/>
      <c r="C25" s="2115"/>
      <c r="D25" s="2115"/>
      <c r="E25" s="386"/>
      <c r="F25" s="386"/>
      <c r="G25" s="270"/>
      <c r="H25" s="993"/>
      <c r="I25" s="245"/>
      <c r="J25" s="243"/>
      <c r="K25" s="324"/>
      <c r="L25" s="184"/>
      <c r="M25" s="248" t="s">
        <v>393</v>
      </c>
      <c r="N25" s="247"/>
      <c r="O25" s="204"/>
      <c r="P25" s="204"/>
      <c r="Q25" s="204"/>
      <c r="R25" s="204"/>
      <c r="S25" s="208"/>
      <c r="T25" s="251"/>
      <c r="U25" s="250"/>
      <c r="V25" s="247"/>
      <c r="W25" s="247"/>
      <c r="X25" s="2024"/>
    </row>
    <row r="26" spans="1:29" s="1829" customFormat="1" ht="14.25" customHeight="1">
      <c r="A26" s="2115"/>
      <c r="B26" s="2115"/>
      <c r="C26" s="2115"/>
      <c r="D26" s="269"/>
      <c r="E26" s="269"/>
      <c r="F26" s="269"/>
      <c r="G26" s="270"/>
      <c r="H26" s="269"/>
      <c r="I26" s="245"/>
      <c r="J26" s="260"/>
      <c r="K26" s="262"/>
      <c r="L26" s="184"/>
      <c r="M26" s="256" t="s">
        <v>504</v>
      </c>
      <c r="N26" s="247"/>
      <c r="O26" s="204"/>
      <c r="P26" s="204"/>
      <c r="Q26" s="204"/>
      <c r="R26" s="204"/>
      <c r="S26" s="208"/>
      <c r="T26" s="251"/>
      <c r="U26" s="250"/>
      <c r="V26" s="247"/>
      <c r="W26" s="251"/>
      <c r="X26" s="1035"/>
      <c r="Y26" s="267"/>
      <c r="Z26" s="267"/>
      <c r="AA26" s="267"/>
      <c r="AB26" s="267"/>
      <c r="AC26" s="267"/>
    </row>
    <row r="27" spans="1:29" s="1829" customFormat="1" ht="14.25" customHeight="1">
      <c r="A27" s="2115"/>
      <c r="B27" s="2115"/>
      <c r="C27" s="269"/>
      <c r="D27" s="269"/>
      <c r="E27" s="269"/>
      <c r="F27" s="269"/>
      <c r="G27" s="270"/>
      <c r="H27" s="269"/>
      <c r="I27" s="241"/>
      <c r="J27" s="260"/>
      <c r="K27" s="262"/>
      <c r="L27" s="184"/>
      <c r="M27" s="247" t="s">
        <v>2063</v>
      </c>
      <c r="N27" s="247"/>
      <c r="O27" s="204"/>
      <c r="P27" s="204"/>
      <c r="Q27" s="204"/>
      <c r="R27" s="204"/>
      <c r="S27" s="208"/>
      <c r="T27" s="251"/>
      <c r="U27" s="250"/>
      <c r="V27" s="247"/>
      <c r="W27" s="251"/>
      <c r="X27" s="206"/>
      <c r="Y27" s="267"/>
      <c r="Z27" s="267"/>
      <c r="AA27" s="267"/>
      <c r="AB27" s="267"/>
      <c r="AC27" s="267"/>
    </row>
    <row r="28" spans="1:29" s="1829" customFormat="1" ht="14.25" customHeight="1">
      <c r="A28" s="2115"/>
      <c r="B28" s="269"/>
      <c r="C28" s="269"/>
      <c r="D28" s="269"/>
      <c r="E28" s="269"/>
      <c r="F28" s="269"/>
      <c r="G28" s="270"/>
      <c r="H28" s="269"/>
      <c r="I28" s="241"/>
      <c r="J28" s="260"/>
      <c r="K28" s="262"/>
      <c r="L28" s="184"/>
      <c r="M28" s="295" t="s">
        <v>38</v>
      </c>
      <c r="N28" s="247"/>
      <c r="O28" s="204"/>
      <c r="P28" s="204"/>
      <c r="Q28" s="204"/>
      <c r="R28" s="204"/>
      <c r="S28" s="208"/>
      <c r="T28" s="251"/>
      <c r="U28" s="250"/>
      <c r="V28" s="247"/>
      <c r="W28" s="251"/>
      <c r="X28" s="206"/>
      <c r="Y28" s="267"/>
      <c r="Z28" s="267"/>
      <c r="AA28" s="267"/>
      <c r="AB28" s="267"/>
      <c r="AC28" s="267"/>
    </row>
    <row r="29" spans="1:29" s="1829" customFormat="1" ht="14.25" customHeight="1">
      <c r="G29" s="249"/>
      <c r="H29" s="262"/>
      <c r="I29" s="259"/>
      <c r="J29" s="260"/>
      <c r="L29" s="184"/>
      <c r="M29" s="296" t="s">
        <v>374</v>
      </c>
      <c r="N29" s="247"/>
      <c r="O29" s="204"/>
      <c r="P29" s="204"/>
      <c r="Q29" s="204"/>
      <c r="R29" s="204"/>
      <c r="S29" s="208"/>
      <c r="T29" s="251"/>
      <c r="U29" s="250"/>
      <c r="V29" s="247"/>
      <c r="W29" s="251"/>
      <c r="X29" s="206"/>
      <c r="Y29" s="267"/>
      <c r="Z29" s="267"/>
      <c r="AA29" s="267"/>
      <c r="AB29" s="267"/>
      <c r="AC29" s="267"/>
    </row>
    <row r="31" spans="1:29" ht="14.25" customHeight="1">
      <c r="L31" s="2">
        <v>1</v>
      </c>
      <c r="M31" s="2110" t="s">
        <v>2086</v>
      </c>
      <c r="N31" s="2110"/>
      <c r="O31" s="2110"/>
      <c r="P31" s="2110"/>
      <c r="Q31" s="2110"/>
      <c r="R31" s="2110"/>
      <c r="S31" s="2110"/>
      <c r="T31" s="2110"/>
      <c r="U31" s="2110"/>
      <c r="V31" s="2110"/>
      <c r="W31" s="2110"/>
      <c r="X31" s="2110"/>
      <c r="Y31" s="1036"/>
      <c r="Z31" s="253"/>
      <c r="AA31" s="253"/>
      <c r="AB31" s="253"/>
      <c r="AC31" s="253"/>
    </row>
    <row r="32" spans="1:29" ht="14.25" customHeight="1">
      <c r="M32" s="1037"/>
      <c r="N32" s="1037"/>
      <c r="O32" s="1037"/>
      <c r="P32" s="1037"/>
      <c r="Q32" s="1037"/>
      <c r="R32" s="1037"/>
      <c r="S32" s="1037"/>
      <c r="T32" s="1037"/>
      <c r="U32" s="1037"/>
      <c r="V32" s="1037"/>
      <c r="W32" s="1037"/>
      <c r="X32" s="1037"/>
      <c r="Y32" s="378"/>
      <c r="Z32" s="378"/>
      <c r="AA32" s="378"/>
      <c r="AB32" s="378"/>
      <c r="AC32" s="378"/>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578" t="s">
        <v>2087</v>
      </c>
      <c r="B1" s="586" t="s">
        <v>2088</v>
      </c>
      <c r="C1" s="2401" t="s">
        <v>2089</v>
      </c>
      <c r="D1" s="2402"/>
      <c r="E1" s="639" t="s">
        <v>2090</v>
      </c>
    </row>
    <row r="2" spans="1:5" ht="11.25" customHeight="1">
      <c r="A2" s="581"/>
      <c r="B2" s="587" t="s">
        <v>2</v>
      </c>
      <c r="C2" s="578"/>
      <c r="D2" s="586"/>
      <c r="E2" s="639"/>
    </row>
    <row r="3" spans="1:5" ht="11.25" customHeight="1">
      <c r="A3" s="590"/>
      <c r="B3" s="588" t="s">
        <v>3</v>
      </c>
      <c r="C3" s="578"/>
      <c r="D3" s="586"/>
      <c r="E3" s="639"/>
    </row>
    <row r="4" spans="1:5" ht="11.25" customHeight="1">
      <c r="A4" s="591"/>
      <c r="B4" s="588" t="s">
        <v>1583</v>
      </c>
      <c r="C4" s="578"/>
      <c r="D4" s="586"/>
      <c r="E4" s="639"/>
    </row>
    <row r="5" spans="1:5" ht="11.25" customHeight="1">
      <c r="A5" s="596"/>
      <c r="B5" s="588" t="s">
        <v>1577</v>
      </c>
      <c r="C5" s="580" t="s">
        <v>1826</v>
      </c>
      <c r="D5" s="670" t="s">
        <v>2091</v>
      </c>
      <c r="E5" s="639"/>
    </row>
    <row r="6" spans="1:5" s="1829" customFormat="1" ht="11.25" customHeight="1">
      <c r="A6" s="589"/>
      <c r="B6" s="588" t="s">
        <v>1587</v>
      </c>
      <c r="C6" s="578"/>
      <c r="D6" s="586"/>
      <c r="E6" s="639"/>
    </row>
    <row r="7" spans="1:5" ht="11.25" customHeight="1">
      <c r="A7" s="579"/>
      <c r="B7" s="588" t="s">
        <v>1595</v>
      </c>
      <c r="C7" s="578"/>
      <c r="D7" s="586"/>
      <c r="E7" s="639"/>
    </row>
    <row r="8" spans="1:5" ht="11.25" customHeight="1">
      <c r="A8" s="580"/>
      <c r="B8" s="588" t="s">
        <v>1590</v>
      </c>
      <c r="C8" s="578"/>
      <c r="D8" s="586"/>
      <c r="E8" s="63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sheetPr>
    <tabColor rgb="FFFFCC99"/>
  </sheetPr>
  <dimension ref="A1:I1557"/>
  <sheetViews>
    <sheetView showGridLines="0" workbookViewId="0"/>
  </sheetViews>
  <sheetFormatPr defaultColWidth="9.140625" defaultRowHeight="11.25" customHeight="1"/>
  <cols>
    <col min="1" max="2" width="9.140625" style="1852"/>
    <col min="3" max="3" width="20.7109375" style="1852" customWidth="1"/>
    <col min="4" max="4" width="25.140625" style="1852" customWidth="1"/>
    <col min="5" max="9" width="9.140625" style="1852"/>
  </cols>
  <sheetData>
    <row r="1" spans="1:9" ht="11.25" customHeight="1">
      <c r="A1" s="5" t="s">
        <v>2092</v>
      </c>
      <c r="B1" s="5" t="s">
        <v>2093</v>
      </c>
      <c r="C1" s="5" t="s">
        <v>2094</v>
      </c>
      <c r="D1" s="5" t="s">
        <v>2095</v>
      </c>
      <c r="E1" s="5" t="s">
        <v>2096</v>
      </c>
      <c r="F1" s="5" t="s">
        <v>2097</v>
      </c>
      <c r="G1" s="5" t="s">
        <v>2098</v>
      </c>
      <c r="H1" s="5" t="s">
        <v>2099</v>
      </c>
      <c r="I1" s="5" t="s">
        <v>2100</v>
      </c>
    </row>
    <row r="2" spans="1:9" ht="11.25" customHeight="1">
      <c r="A2" s="1853" t="s">
        <v>2101</v>
      </c>
      <c r="B2" s="1853" t="s">
        <v>0</v>
      </c>
      <c r="C2" s="1853" t="s">
        <v>2102</v>
      </c>
      <c r="D2" s="1853" t="s">
        <v>2103</v>
      </c>
      <c r="E2" s="1853" t="s">
        <v>2104</v>
      </c>
      <c r="F2" s="1853" t="s">
        <v>2105</v>
      </c>
      <c r="G2" s="1853" t="s">
        <v>2106</v>
      </c>
      <c r="H2" s="1853" t="s">
        <v>1</v>
      </c>
      <c r="I2" s="1853" t="s">
        <v>641</v>
      </c>
    </row>
    <row r="3" spans="1:9" ht="11.25" customHeight="1">
      <c r="A3" s="1853" t="s">
        <v>2101</v>
      </c>
      <c r="B3" s="1853" t="s">
        <v>0</v>
      </c>
      <c r="C3" s="1853" t="s">
        <v>2107</v>
      </c>
      <c r="D3" s="1853" t="s">
        <v>2108</v>
      </c>
      <c r="E3" s="1853" t="s">
        <v>2109</v>
      </c>
      <c r="F3" s="1853" t="s">
        <v>2110</v>
      </c>
      <c r="G3" s="1853" t="s">
        <v>1</v>
      </c>
      <c r="H3" s="1853" t="s">
        <v>1</v>
      </c>
      <c r="I3" s="1853" t="s">
        <v>641</v>
      </c>
    </row>
    <row r="4" spans="1:9" ht="11.25" customHeight="1">
      <c r="A4" s="1853" t="s">
        <v>2101</v>
      </c>
      <c r="B4" s="1853" t="s">
        <v>0</v>
      </c>
      <c r="C4" s="1853" t="s">
        <v>2111</v>
      </c>
      <c r="D4" s="1853" t="s">
        <v>2112</v>
      </c>
      <c r="E4" s="1853" t="s">
        <v>2113</v>
      </c>
      <c r="F4" s="1853" t="s">
        <v>2114</v>
      </c>
      <c r="G4" s="1853" t="s">
        <v>2115</v>
      </c>
      <c r="H4" s="1853" t="s">
        <v>1</v>
      </c>
      <c r="I4" s="1853" t="s">
        <v>641</v>
      </c>
    </row>
    <row r="5" spans="1:9" ht="11.25" customHeight="1">
      <c r="A5" s="1853" t="s">
        <v>2101</v>
      </c>
      <c r="B5" s="1853" t="s">
        <v>0</v>
      </c>
      <c r="C5" s="1853" t="s">
        <v>2116</v>
      </c>
      <c r="D5" s="1853" t="s">
        <v>2117</v>
      </c>
      <c r="E5" s="1853" t="s">
        <v>2118</v>
      </c>
      <c r="F5" s="1853" t="s">
        <v>2119</v>
      </c>
      <c r="G5" s="1853" t="s">
        <v>1</v>
      </c>
      <c r="H5" s="1853" t="s">
        <v>1</v>
      </c>
      <c r="I5" s="1853" t="s">
        <v>641</v>
      </c>
    </row>
    <row r="6" spans="1:9" ht="11.25" customHeight="1">
      <c r="A6" s="1853" t="s">
        <v>2101</v>
      </c>
      <c r="B6" s="1853" t="s">
        <v>0</v>
      </c>
      <c r="C6" s="1853" t="s">
        <v>2120</v>
      </c>
      <c r="D6" s="1853" t="s">
        <v>2121</v>
      </c>
      <c r="E6" s="1853" t="s">
        <v>2122</v>
      </c>
      <c r="F6" s="1853" t="s">
        <v>2123</v>
      </c>
      <c r="G6" s="1853" t="s">
        <v>1</v>
      </c>
      <c r="H6" s="1853" t="s">
        <v>1</v>
      </c>
      <c r="I6" s="1853" t="s">
        <v>641</v>
      </c>
    </row>
    <row r="7" spans="1:9" ht="11.25" customHeight="1">
      <c r="A7" s="1853" t="s">
        <v>2101</v>
      </c>
      <c r="B7" s="1853" t="s">
        <v>0</v>
      </c>
      <c r="C7" s="1853" t="s">
        <v>2124</v>
      </c>
      <c r="D7" s="1853" t="s">
        <v>2125</v>
      </c>
      <c r="E7" s="1853" t="s">
        <v>2126</v>
      </c>
      <c r="F7" s="1853" t="s">
        <v>2127</v>
      </c>
      <c r="G7" s="1853" t="s">
        <v>2128</v>
      </c>
      <c r="H7" s="1853" t="s">
        <v>1</v>
      </c>
      <c r="I7" s="1853" t="s">
        <v>641</v>
      </c>
    </row>
    <row r="8" spans="1:9" ht="11.25" customHeight="1">
      <c r="A8" s="1853" t="s">
        <v>2101</v>
      </c>
      <c r="B8" s="1853" t="s">
        <v>0</v>
      </c>
      <c r="C8" s="1853" t="s">
        <v>2129</v>
      </c>
      <c r="D8" s="1853" t="s">
        <v>2130</v>
      </c>
      <c r="E8" s="1853" t="s">
        <v>2131</v>
      </c>
      <c r="F8" s="1853" t="s">
        <v>2132</v>
      </c>
      <c r="G8" s="1853" t="s">
        <v>1</v>
      </c>
      <c r="H8" s="1853" t="s">
        <v>1</v>
      </c>
      <c r="I8" s="1853" t="s">
        <v>641</v>
      </c>
    </row>
    <row r="9" spans="1:9" ht="11.25" customHeight="1">
      <c r="A9" s="1853" t="s">
        <v>2101</v>
      </c>
      <c r="B9" s="1853" t="s">
        <v>0</v>
      </c>
      <c r="C9" s="1853" t="s">
        <v>2133</v>
      </c>
      <c r="D9" s="1853" t="s">
        <v>2134</v>
      </c>
      <c r="E9" s="1853" t="s">
        <v>2135</v>
      </c>
      <c r="F9" s="1853" t="s">
        <v>2136</v>
      </c>
      <c r="G9" s="1853" t="s">
        <v>2137</v>
      </c>
      <c r="H9" s="1853" t="s">
        <v>1</v>
      </c>
      <c r="I9" s="1853" t="s">
        <v>641</v>
      </c>
    </row>
    <row r="10" spans="1:9" ht="11.25" customHeight="1">
      <c r="A10" s="1853" t="s">
        <v>2101</v>
      </c>
      <c r="B10" s="1853" t="s">
        <v>0</v>
      </c>
      <c r="C10" s="1853" t="s">
        <v>2138</v>
      </c>
      <c r="D10" s="1853" t="s">
        <v>2139</v>
      </c>
      <c r="E10" s="1853" t="s">
        <v>2140</v>
      </c>
      <c r="F10" s="1853" t="s">
        <v>2141</v>
      </c>
      <c r="G10" s="1853" t="s">
        <v>1</v>
      </c>
      <c r="H10" s="1853" t="s">
        <v>1</v>
      </c>
      <c r="I10" s="1853" t="s">
        <v>641</v>
      </c>
    </row>
    <row r="11" spans="1:9" ht="11.25" customHeight="1">
      <c r="A11" s="1853" t="s">
        <v>2101</v>
      </c>
      <c r="B11" s="1853" t="s">
        <v>0</v>
      </c>
      <c r="C11" s="1853" t="s">
        <v>2142</v>
      </c>
      <c r="D11" s="1853" t="s">
        <v>2143</v>
      </c>
      <c r="E11" s="1853" t="s">
        <v>2144</v>
      </c>
      <c r="F11" s="1853" t="s">
        <v>2145</v>
      </c>
      <c r="G11" s="1853" t="s">
        <v>1</v>
      </c>
      <c r="H11" s="1853" t="s">
        <v>1</v>
      </c>
      <c r="I11" s="1853" t="s">
        <v>641</v>
      </c>
    </row>
    <row r="12" spans="1:9" ht="11.25" customHeight="1">
      <c r="A12" s="1853" t="s">
        <v>2101</v>
      </c>
      <c r="B12" s="1853" t="s">
        <v>0</v>
      </c>
      <c r="C12" s="1853" t="s">
        <v>2146</v>
      </c>
      <c r="D12" s="1853" t="s">
        <v>2147</v>
      </c>
      <c r="E12" s="1853" t="s">
        <v>2148</v>
      </c>
      <c r="F12" s="1853" t="s">
        <v>2149</v>
      </c>
      <c r="G12" s="1853" t="s">
        <v>1</v>
      </c>
      <c r="H12" s="1853" t="s">
        <v>1</v>
      </c>
      <c r="I12" s="1853" t="s">
        <v>641</v>
      </c>
    </row>
    <row r="13" spans="1:9" ht="11.25" customHeight="1">
      <c r="A13" s="1853" t="s">
        <v>2101</v>
      </c>
      <c r="B13" s="1853" t="s">
        <v>0</v>
      </c>
      <c r="C13" s="1853" t="s">
        <v>2150</v>
      </c>
      <c r="D13" s="1853" t="s">
        <v>2151</v>
      </c>
      <c r="E13" s="1853" t="s">
        <v>2152</v>
      </c>
      <c r="F13" s="1853" t="s">
        <v>2105</v>
      </c>
      <c r="G13" s="1853" t="s">
        <v>1</v>
      </c>
      <c r="H13" s="1853" t="s">
        <v>1</v>
      </c>
      <c r="I13" s="1853" t="s">
        <v>641</v>
      </c>
    </row>
    <row r="14" spans="1:9" ht="11.25" customHeight="1">
      <c r="A14" s="1853" t="s">
        <v>2101</v>
      </c>
      <c r="B14" s="1853" t="s">
        <v>0</v>
      </c>
      <c r="C14" s="1853" t="s">
        <v>2153</v>
      </c>
      <c r="D14" s="1853" t="s">
        <v>2154</v>
      </c>
      <c r="E14" s="1853" t="s">
        <v>2155</v>
      </c>
      <c r="F14" s="1853" t="s">
        <v>2119</v>
      </c>
      <c r="G14" s="1853" t="s">
        <v>1</v>
      </c>
      <c r="H14" s="1853" t="s">
        <v>1</v>
      </c>
      <c r="I14" s="1853" t="s">
        <v>641</v>
      </c>
    </row>
    <row r="15" spans="1:9" ht="11.25" customHeight="1">
      <c r="A15" s="1853" t="s">
        <v>2101</v>
      </c>
      <c r="B15" s="1853" t="s">
        <v>0</v>
      </c>
      <c r="C15" s="1853" t="s">
        <v>2156</v>
      </c>
      <c r="D15" s="1853" t="s">
        <v>2157</v>
      </c>
      <c r="E15" s="1853" t="s">
        <v>2158</v>
      </c>
      <c r="F15" s="1853" t="s">
        <v>2159</v>
      </c>
      <c r="G15" s="1853" t="s">
        <v>2160</v>
      </c>
      <c r="H15" s="1853" t="s">
        <v>1</v>
      </c>
      <c r="I15" s="1853" t="s">
        <v>641</v>
      </c>
    </row>
    <row r="16" spans="1:9" ht="11.25" customHeight="1">
      <c r="A16" s="1853" t="s">
        <v>2101</v>
      </c>
      <c r="B16" s="1853" t="s">
        <v>0</v>
      </c>
      <c r="C16" s="1853" t="s">
        <v>2161</v>
      </c>
      <c r="D16" s="1853" t="s">
        <v>2162</v>
      </c>
      <c r="E16" s="1853" t="s">
        <v>2163</v>
      </c>
      <c r="F16" s="1853" t="s">
        <v>12</v>
      </c>
      <c r="G16" s="1853" t="s">
        <v>1</v>
      </c>
      <c r="H16" s="1853" t="s">
        <v>1</v>
      </c>
      <c r="I16" s="1853" t="s">
        <v>641</v>
      </c>
    </row>
    <row r="17" spans="1:9" ht="11.25" customHeight="1">
      <c r="A17" s="1853" t="s">
        <v>2101</v>
      </c>
      <c r="B17" s="1853" t="s">
        <v>0</v>
      </c>
      <c r="C17" s="1853" t="s">
        <v>2164</v>
      </c>
      <c r="D17" s="1853" t="s">
        <v>2165</v>
      </c>
      <c r="E17" s="1853" t="s">
        <v>2166</v>
      </c>
      <c r="F17" s="1853" t="s">
        <v>2105</v>
      </c>
      <c r="G17" s="1853" t="s">
        <v>1</v>
      </c>
      <c r="H17" s="1853" t="s">
        <v>1</v>
      </c>
      <c r="I17" s="1853" t="s">
        <v>641</v>
      </c>
    </row>
    <row r="18" spans="1:9" ht="11.25" customHeight="1">
      <c r="A18" s="1853" t="s">
        <v>2101</v>
      </c>
      <c r="B18" s="1853" t="s">
        <v>0</v>
      </c>
      <c r="C18" s="1853" t="s">
        <v>2167</v>
      </c>
      <c r="D18" s="1853" t="s">
        <v>2168</v>
      </c>
      <c r="E18" s="1853" t="s">
        <v>2169</v>
      </c>
      <c r="F18" s="1853" t="s">
        <v>2149</v>
      </c>
      <c r="G18" s="1853" t="s">
        <v>1</v>
      </c>
      <c r="H18" s="1853" t="s">
        <v>1</v>
      </c>
      <c r="I18" s="1853" t="s">
        <v>641</v>
      </c>
    </row>
    <row r="19" spans="1:9" ht="11.25" customHeight="1">
      <c r="A19" s="1853" t="s">
        <v>2101</v>
      </c>
      <c r="B19" s="1853" t="s">
        <v>0</v>
      </c>
      <c r="C19" s="1853" t="s">
        <v>2170</v>
      </c>
      <c r="D19" s="1853" t="s">
        <v>2171</v>
      </c>
      <c r="E19" s="1853" t="s">
        <v>2172</v>
      </c>
      <c r="F19" s="1853" t="s">
        <v>2173</v>
      </c>
      <c r="G19" s="1853" t="s">
        <v>1</v>
      </c>
      <c r="H19" s="1853" t="s">
        <v>2174</v>
      </c>
      <c r="I19" s="1853" t="s">
        <v>641</v>
      </c>
    </row>
    <row r="20" spans="1:9" ht="11.25" customHeight="1">
      <c r="A20" s="1853" t="s">
        <v>2101</v>
      </c>
      <c r="B20" s="1853" t="s">
        <v>0</v>
      </c>
      <c r="C20" s="1853" t="s">
        <v>2175</v>
      </c>
      <c r="D20" s="1853" t="s">
        <v>2176</v>
      </c>
      <c r="E20" s="1853" t="s">
        <v>2177</v>
      </c>
      <c r="F20" s="1853" t="s">
        <v>2178</v>
      </c>
      <c r="G20" s="1853" t="s">
        <v>1</v>
      </c>
      <c r="H20" s="1853" t="s">
        <v>1</v>
      </c>
      <c r="I20" s="1853" t="s">
        <v>641</v>
      </c>
    </row>
    <row r="21" spans="1:9" ht="11.25" customHeight="1">
      <c r="A21" s="1853" t="s">
        <v>2101</v>
      </c>
      <c r="B21" s="1853" t="s">
        <v>0</v>
      </c>
      <c r="C21" s="1853" t="s">
        <v>2179</v>
      </c>
      <c r="D21" s="1853" t="s">
        <v>2180</v>
      </c>
      <c r="E21" s="1853" t="s">
        <v>2181</v>
      </c>
      <c r="F21" s="1853" t="s">
        <v>2182</v>
      </c>
      <c r="G21" s="1853" t="s">
        <v>2183</v>
      </c>
      <c r="H21" s="1853" t="s">
        <v>1</v>
      </c>
      <c r="I21" s="1853" t="s">
        <v>641</v>
      </c>
    </row>
    <row r="22" spans="1:9" ht="11.25" customHeight="1">
      <c r="A22" s="1853" t="s">
        <v>2101</v>
      </c>
      <c r="B22" s="1853" t="s">
        <v>0</v>
      </c>
      <c r="C22" s="1853" t="s">
        <v>2184</v>
      </c>
      <c r="D22" s="1853" t="s">
        <v>2185</v>
      </c>
      <c r="E22" s="1853" t="s">
        <v>2186</v>
      </c>
      <c r="F22" s="1853" t="s">
        <v>2187</v>
      </c>
      <c r="G22" s="1853" t="s">
        <v>1</v>
      </c>
      <c r="H22" s="1853" t="s">
        <v>1</v>
      </c>
      <c r="I22" s="1853" t="s">
        <v>641</v>
      </c>
    </row>
    <row r="23" spans="1:9" ht="11.25" customHeight="1">
      <c r="A23" s="1853" t="s">
        <v>2101</v>
      </c>
      <c r="B23" s="1853" t="s">
        <v>0</v>
      </c>
      <c r="C23" s="1853" t="s">
        <v>2188</v>
      </c>
      <c r="D23" s="1853" t="s">
        <v>2189</v>
      </c>
      <c r="E23" s="1853" t="s">
        <v>2190</v>
      </c>
      <c r="F23" s="1853" t="s">
        <v>2191</v>
      </c>
      <c r="G23" s="1853" t="s">
        <v>2192</v>
      </c>
      <c r="H23" s="1853" t="s">
        <v>1</v>
      </c>
      <c r="I23" s="1853" t="s">
        <v>641</v>
      </c>
    </row>
    <row r="24" spans="1:9" ht="11.25" customHeight="1">
      <c r="A24" s="1853" t="s">
        <v>2101</v>
      </c>
      <c r="B24" s="1853" t="s">
        <v>0</v>
      </c>
      <c r="C24" s="1853" t="s">
        <v>2193</v>
      </c>
      <c r="D24" s="1853" t="s">
        <v>2194</v>
      </c>
      <c r="E24" s="1853" t="s">
        <v>2195</v>
      </c>
      <c r="F24" s="1853" t="s">
        <v>2196</v>
      </c>
      <c r="G24" s="1853" t="s">
        <v>1</v>
      </c>
      <c r="H24" s="1853" t="s">
        <v>1</v>
      </c>
      <c r="I24" s="1853" t="s">
        <v>641</v>
      </c>
    </row>
    <row r="25" spans="1:9" ht="11.25" customHeight="1">
      <c r="A25" s="1853" t="s">
        <v>2101</v>
      </c>
      <c r="B25" s="1853" t="s">
        <v>0</v>
      </c>
      <c r="C25" s="1853" t="s">
        <v>2197</v>
      </c>
      <c r="D25" s="1853" t="s">
        <v>2198</v>
      </c>
      <c r="E25" s="1853" t="s">
        <v>2199</v>
      </c>
      <c r="F25" s="1853" t="s">
        <v>12</v>
      </c>
      <c r="G25" s="1853" t="s">
        <v>1</v>
      </c>
      <c r="H25" s="1853" t="s">
        <v>1</v>
      </c>
      <c r="I25" s="1853" t="s">
        <v>641</v>
      </c>
    </row>
    <row r="26" spans="1:9" ht="11.25" customHeight="1">
      <c r="A26" s="1853" t="s">
        <v>2101</v>
      </c>
      <c r="B26" s="1853" t="s">
        <v>0</v>
      </c>
      <c r="C26" s="1853" t="s">
        <v>2200</v>
      </c>
      <c r="D26" s="1853" t="s">
        <v>2201</v>
      </c>
      <c r="E26" s="1853" t="s">
        <v>2202</v>
      </c>
      <c r="F26" s="1853" t="s">
        <v>2203</v>
      </c>
      <c r="G26" s="1853" t="s">
        <v>1</v>
      </c>
      <c r="H26" s="1853" t="s">
        <v>1</v>
      </c>
      <c r="I26" s="1853" t="s">
        <v>641</v>
      </c>
    </row>
    <row r="27" spans="1:9" ht="11.25" customHeight="1">
      <c r="A27" s="1853" t="s">
        <v>2101</v>
      </c>
      <c r="B27" s="1853" t="s">
        <v>0</v>
      </c>
      <c r="C27" s="1853" t="s">
        <v>2204</v>
      </c>
      <c r="D27" s="1853" t="s">
        <v>2205</v>
      </c>
      <c r="E27" s="1853" t="s">
        <v>2206</v>
      </c>
      <c r="F27" s="1853" t="s">
        <v>2207</v>
      </c>
      <c r="G27" s="1853" t="s">
        <v>1</v>
      </c>
      <c r="H27" s="1853" t="s">
        <v>1</v>
      </c>
      <c r="I27" s="1853" t="s">
        <v>641</v>
      </c>
    </row>
    <row r="28" spans="1:9" ht="11.25" customHeight="1">
      <c r="A28" s="1853" t="s">
        <v>2101</v>
      </c>
      <c r="B28" s="1853" t="s">
        <v>0</v>
      </c>
      <c r="C28" s="1853" t="s">
        <v>2208</v>
      </c>
      <c r="D28" s="1853" t="s">
        <v>2209</v>
      </c>
      <c r="E28" s="1853" t="s">
        <v>2210</v>
      </c>
      <c r="F28" s="1853" t="s">
        <v>2211</v>
      </c>
      <c r="G28" s="1853" t="s">
        <v>2212</v>
      </c>
      <c r="H28" s="1853" t="s">
        <v>1</v>
      </c>
      <c r="I28" s="1853" t="s">
        <v>641</v>
      </c>
    </row>
    <row r="29" spans="1:9" ht="11.25" customHeight="1">
      <c r="A29" s="1853" t="s">
        <v>2101</v>
      </c>
      <c r="B29" s="1853" t="s">
        <v>0</v>
      </c>
      <c r="C29" s="1853" t="s">
        <v>2213</v>
      </c>
      <c r="D29" s="1853" t="s">
        <v>2214</v>
      </c>
      <c r="E29" s="1853" t="s">
        <v>2215</v>
      </c>
      <c r="F29" s="1853" t="s">
        <v>2141</v>
      </c>
      <c r="G29" s="1853" t="s">
        <v>1</v>
      </c>
      <c r="H29" s="1853" t="s">
        <v>1</v>
      </c>
      <c r="I29" s="1853" t="s">
        <v>641</v>
      </c>
    </row>
    <row r="30" spans="1:9" ht="11.25" customHeight="1">
      <c r="A30" s="1853" t="s">
        <v>2101</v>
      </c>
      <c r="B30" s="1853" t="s">
        <v>0</v>
      </c>
      <c r="C30" s="1853" t="s">
        <v>2216</v>
      </c>
      <c r="D30" s="1853" t="s">
        <v>2217</v>
      </c>
      <c r="E30" s="1853" t="s">
        <v>2218</v>
      </c>
      <c r="F30" s="1853" t="s">
        <v>2207</v>
      </c>
      <c r="G30" s="1853" t="s">
        <v>1</v>
      </c>
      <c r="H30" s="1853" t="s">
        <v>1</v>
      </c>
      <c r="I30" s="1853" t="s">
        <v>641</v>
      </c>
    </row>
    <row r="31" spans="1:9" ht="11.25" customHeight="1">
      <c r="A31" s="1853" t="s">
        <v>2101</v>
      </c>
      <c r="B31" s="1853" t="s">
        <v>0</v>
      </c>
      <c r="C31" s="1853" t="s">
        <v>2219</v>
      </c>
      <c r="D31" s="1853" t="s">
        <v>2220</v>
      </c>
      <c r="E31" s="1853" t="s">
        <v>2221</v>
      </c>
      <c r="F31" s="1853" t="s">
        <v>2222</v>
      </c>
      <c r="G31" s="1853" t="s">
        <v>1</v>
      </c>
      <c r="H31" s="1853" t="s">
        <v>1</v>
      </c>
      <c r="I31" s="1853" t="s">
        <v>641</v>
      </c>
    </row>
    <row r="32" spans="1:9" ht="11.25" customHeight="1">
      <c r="A32" s="1853" t="s">
        <v>2101</v>
      </c>
      <c r="B32" s="1853" t="s">
        <v>0</v>
      </c>
      <c r="C32" s="1853" t="s">
        <v>2223</v>
      </c>
      <c r="D32" s="1853" t="s">
        <v>2224</v>
      </c>
      <c r="E32" s="1853" t="s">
        <v>2225</v>
      </c>
      <c r="F32" s="1853" t="s">
        <v>2178</v>
      </c>
      <c r="G32" s="1853" t="s">
        <v>2226</v>
      </c>
      <c r="H32" s="1853" t="s">
        <v>1</v>
      </c>
      <c r="I32" s="1853" t="s">
        <v>641</v>
      </c>
    </row>
    <row r="33" spans="1:9" ht="11.25" customHeight="1">
      <c r="A33" s="1853" t="s">
        <v>2101</v>
      </c>
      <c r="B33" s="1853" t="s">
        <v>0</v>
      </c>
      <c r="C33" s="1853" t="s">
        <v>2227</v>
      </c>
      <c r="D33" s="1853" t="s">
        <v>2228</v>
      </c>
      <c r="E33" s="1853" t="s">
        <v>2229</v>
      </c>
      <c r="F33" s="1853" t="s">
        <v>2230</v>
      </c>
      <c r="G33" s="1853" t="s">
        <v>2231</v>
      </c>
      <c r="H33" s="1853" t="s">
        <v>1</v>
      </c>
      <c r="I33" s="1853" t="s">
        <v>641</v>
      </c>
    </row>
    <row r="34" spans="1:9" ht="11.25" customHeight="1">
      <c r="A34" s="1853" t="s">
        <v>2101</v>
      </c>
      <c r="B34" s="1853" t="s">
        <v>0</v>
      </c>
      <c r="C34" s="1853" t="s">
        <v>2232</v>
      </c>
      <c r="D34" s="1853" t="s">
        <v>2233</v>
      </c>
      <c r="E34" s="1853" t="s">
        <v>2118</v>
      </c>
      <c r="F34" s="1853" t="s">
        <v>2234</v>
      </c>
      <c r="G34" s="1853" t="s">
        <v>2235</v>
      </c>
      <c r="H34" s="1853" t="s">
        <v>1</v>
      </c>
      <c r="I34" s="1853" t="s">
        <v>641</v>
      </c>
    </row>
    <row r="35" spans="1:9" ht="11.25" customHeight="1">
      <c r="A35" s="1853" t="s">
        <v>2101</v>
      </c>
      <c r="B35" s="1853" t="s">
        <v>0</v>
      </c>
      <c r="C35" s="1853" t="s">
        <v>2236</v>
      </c>
      <c r="D35" s="1853" t="s">
        <v>2237</v>
      </c>
      <c r="E35" s="1853" t="s">
        <v>2238</v>
      </c>
      <c r="F35" s="1853" t="s">
        <v>2239</v>
      </c>
      <c r="G35" s="1853" t="s">
        <v>2240</v>
      </c>
      <c r="H35" s="1853" t="s">
        <v>1</v>
      </c>
      <c r="I35" s="1853" t="s">
        <v>641</v>
      </c>
    </row>
    <row r="36" spans="1:9" ht="11.25" customHeight="1">
      <c r="A36" s="1853" t="s">
        <v>2101</v>
      </c>
      <c r="B36" s="1853" t="s">
        <v>0</v>
      </c>
      <c r="C36" s="1853" t="s">
        <v>2241</v>
      </c>
      <c r="D36" s="1853" t="s">
        <v>2242</v>
      </c>
      <c r="E36" s="1853" t="s">
        <v>2243</v>
      </c>
      <c r="F36" s="1853" t="s">
        <v>2239</v>
      </c>
      <c r="G36" s="1853" t="s">
        <v>2244</v>
      </c>
      <c r="H36" s="1853" t="s">
        <v>1</v>
      </c>
      <c r="I36" s="1853" t="s">
        <v>641</v>
      </c>
    </row>
    <row r="37" spans="1:9" ht="11.25" customHeight="1">
      <c r="A37" s="1853" t="s">
        <v>2101</v>
      </c>
      <c r="B37" s="1853" t="s">
        <v>0</v>
      </c>
      <c r="C37" s="1853" t="s">
        <v>2245</v>
      </c>
      <c r="D37" s="1853" t="s">
        <v>2246</v>
      </c>
      <c r="E37" s="1853" t="s">
        <v>2247</v>
      </c>
      <c r="F37" s="1853" t="s">
        <v>2248</v>
      </c>
      <c r="G37" s="1853" t="s">
        <v>1</v>
      </c>
      <c r="H37" s="1853" t="s">
        <v>1</v>
      </c>
      <c r="I37" s="1853" t="s">
        <v>641</v>
      </c>
    </row>
    <row r="38" spans="1:9" ht="11.25" customHeight="1">
      <c r="A38" s="1853" t="s">
        <v>2101</v>
      </c>
      <c r="B38" s="1853" t="s">
        <v>0</v>
      </c>
      <c r="C38" s="1853" t="s">
        <v>2249</v>
      </c>
      <c r="D38" s="1853" t="s">
        <v>2250</v>
      </c>
      <c r="E38" s="1853" t="s">
        <v>2247</v>
      </c>
      <c r="F38" s="1853" t="s">
        <v>2211</v>
      </c>
      <c r="G38" s="1853" t="s">
        <v>2251</v>
      </c>
      <c r="H38" s="1853" t="s">
        <v>1</v>
      </c>
      <c r="I38" s="1853" t="s">
        <v>641</v>
      </c>
    </row>
    <row r="39" spans="1:9" ht="11.25" customHeight="1">
      <c r="A39" s="1853" t="s">
        <v>2101</v>
      </c>
      <c r="B39" s="1853" t="s">
        <v>0</v>
      </c>
      <c r="C39" s="1853" t="s">
        <v>2252</v>
      </c>
      <c r="D39" s="1853" t="s">
        <v>2253</v>
      </c>
      <c r="E39" s="1853" t="s">
        <v>2254</v>
      </c>
      <c r="F39" s="1853" t="s">
        <v>2255</v>
      </c>
      <c r="G39" s="1853" t="s">
        <v>1</v>
      </c>
      <c r="H39" s="1853" t="s">
        <v>1</v>
      </c>
      <c r="I39" s="1853" t="s">
        <v>641</v>
      </c>
    </row>
    <row r="40" spans="1:9" ht="11.25" customHeight="1">
      <c r="A40" s="1853" t="s">
        <v>2101</v>
      </c>
      <c r="B40" s="1853" t="s">
        <v>0</v>
      </c>
      <c r="C40" s="1853" t="s">
        <v>2256</v>
      </c>
      <c r="D40" s="1853" t="s">
        <v>2257</v>
      </c>
      <c r="E40" s="1853" t="s">
        <v>2258</v>
      </c>
      <c r="F40" s="1853" t="s">
        <v>2105</v>
      </c>
      <c r="G40" s="1853" t="s">
        <v>1</v>
      </c>
      <c r="H40" s="1853" t="s">
        <v>1</v>
      </c>
      <c r="I40" s="1853" t="s">
        <v>641</v>
      </c>
    </row>
    <row r="41" spans="1:9" ht="11.25" customHeight="1">
      <c r="A41" s="1853" t="s">
        <v>2101</v>
      </c>
      <c r="B41" s="1853" t="s">
        <v>0</v>
      </c>
      <c r="C41" s="1853" t="s">
        <v>2259</v>
      </c>
      <c r="D41" s="1853" t="s">
        <v>2260</v>
      </c>
      <c r="E41" s="1853" t="s">
        <v>2261</v>
      </c>
      <c r="F41" s="1853" t="s">
        <v>2105</v>
      </c>
      <c r="G41" s="1853" t="s">
        <v>1</v>
      </c>
      <c r="H41" s="1853" t="s">
        <v>1</v>
      </c>
      <c r="I41" s="1853" t="s">
        <v>641</v>
      </c>
    </row>
    <row r="42" spans="1:9" ht="11.25" customHeight="1">
      <c r="A42" s="1853" t="s">
        <v>2101</v>
      </c>
      <c r="B42" s="1853" t="s">
        <v>0</v>
      </c>
      <c r="C42" s="1853" t="s">
        <v>2262</v>
      </c>
      <c r="D42" s="1853" t="s">
        <v>2263</v>
      </c>
      <c r="E42" s="1853" t="s">
        <v>2264</v>
      </c>
      <c r="F42" s="1853" t="s">
        <v>2239</v>
      </c>
      <c r="G42" s="1853" t="s">
        <v>1</v>
      </c>
      <c r="H42" s="1853" t="s">
        <v>1</v>
      </c>
      <c r="I42" s="1853" t="s">
        <v>641</v>
      </c>
    </row>
    <row r="43" spans="1:9" ht="11.25" customHeight="1">
      <c r="A43" s="1853" t="s">
        <v>2101</v>
      </c>
      <c r="B43" s="1853" t="s">
        <v>0</v>
      </c>
      <c r="C43" s="1853" t="s">
        <v>2265</v>
      </c>
      <c r="D43" s="1853" t="s">
        <v>2266</v>
      </c>
      <c r="E43" s="1853" t="s">
        <v>2267</v>
      </c>
      <c r="F43" s="1853" t="s">
        <v>2268</v>
      </c>
      <c r="G43" s="1853" t="s">
        <v>1</v>
      </c>
      <c r="H43" s="1853" t="s">
        <v>1</v>
      </c>
      <c r="I43" s="1853" t="s">
        <v>641</v>
      </c>
    </row>
    <row r="44" spans="1:9" ht="11.25" customHeight="1">
      <c r="A44" s="1853" t="s">
        <v>2101</v>
      </c>
      <c r="B44" s="1853" t="s">
        <v>0</v>
      </c>
      <c r="C44" s="1853" t="s">
        <v>2269</v>
      </c>
      <c r="D44" s="1853" t="s">
        <v>2270</v>
      </c>
      <c r="E44" s="1853" t="s">
        <v>2271</v>
      </c>
      <c r="F44" s="1853" t="s">
        <v>2222</v>
      </c>
      <c r="G44" s="1853" t="s">
        <v>2272</v>
      </c>
      <c r="H44" s="1853" t="s">
        <v>1</v>
      </c>
      <c r="I44" s="1853" t="s">
        <v>641</v>
      </c>
    </row>
    <row r="45" spans="1:9" ht="11.25" customHeight="1">
      <c r="A45" s="1853" t="s">
        <v>2101</v>
      </c>
      <c r="B45" s="1853" t="s">
        <v>0</v>
      </c>
      <c r="C45" s="1853" t="s">
        <v>2273</v>
      </c>
      <c r="D45" s="1853" t="s">
        <v>2274</v>
      </c>
      <c r="E45" s="1853" t="s">
        <v>2271</v>
      </c>
      <c r="F45" s="1853" t="s">
        <v>2275</v>
      </c>
      <c r="G45" s="1853" t="s">
        <v>1</v>
      </c>
      <c r="H45" s="1853" t="s">
        <v>1</v>
      </c>
      <c r="I45" s="1853" t="s">
        <v>641</v>
      </c>
    </row>
    <row r="46" spans="1:9" ht="11.25" customHeight="1">
      <c r="A46" s="1853" t="s">
        <v>2101</v>
      </c>
      <c r="B46" s="1853" t="s">
        <v>0</v>
      </c>
      <c r="C46" s="1853" t="s">
        <v>2276</v>
      </c>
      <c r="D46" s="1853" t="s">
        <v>2277</v>
      </c>
      <c r="E46" s="1853" t="s">
        <v>2271</v>
      </c>
      <c r="F46" s="1853" t="s">
        <v>2278</v>
      </c>
      <c r="G46" s="1853" t="s">
        <v>1</v>
      </c>
      <c r="H46" s="1853" t="s">
        <v>1</v>
      </c>
      <c r="I46" s="1853" t="s">
        <v>641</v>
      </c>
    </row>
    <row r="47" spans="1:9" ht="11.25" customHeight="1">
      <c r="A47" s="1853" t="s">
        <v>2101</v>
      </c>
      <c r="B47" s="1853" t="s">
        <v>0</v>
      </c>
      <c r="C47" s="1853" t="s">
        <v>2279</v>
      </c>
      <c r="D47" s="1853" t="s">
        <v>2280</v>
      </c>
      <c r="E47" s="1853" t="s">
        <v>2271</v>
      </c>
      <c r="F47" s="1853" t="s">
        <v>2281</v>
      </c>
      <c r="G47" s="1853" t="s">
        <v>1</v>
      </c>
      <c r="H47" s="1853" t="s">
        <v>1</v>
      </c>
      <c r="I47" s="1853" t="s">
        <v>641</v>
      </c>
    </row>
    <row r="48" spans="1:9" ht="11.25" customHeight="1">
      <c r="A48" s="1853" t="s">
        <v>2101</v>
      </c>
      <c r="B48" s="1853" t="s">
        <v>0</v>
      </c>
      <c r="C48" s="1853" t="s">
        <v>2282</v>
      </c>
      <c r="D48" s="1853" t="s">
        <v>2283</v>
      </c>
      <c r="E48" s="1853" t="s">
        <v>2271</v>
      </c>
      <c r="F48" s="1853" t="s">
        <v>2284</v>
      </c>
      <c r="G48" s="1853" t="s">
        <v>1</v>
      </c>
      <c r="H48" s="1853" t="s">
        <v>1</v>
      </c>
      <c r="I48" s="1853" t="s">
        <v>641</v>
      </c>
    </row>
    <row r="49" spans="1:9" ht="11.25" customHeight="1">
      <c r="A49" s="1853" t="s">
        <v>2101</v>
      </c>
      <c r="B49" s="1853" t="s">
        <v>0</v>
      </c>
      <c r="C49" s="1853" t="s">
        <v>2285</v>
      </c>
      <c r="D49" s="1853" t="s">
        <v>2286</v>
      </c>
      <c r="E49" s="1853" t="s">
        <v>2271</v>
      </c>
      <c r="F49" s="1853" t="s">
        <v>2287</v>
      </c>
      <c r="G49" s="1853" t="s">
        <v>1</v>
      </c>
      <c r="H49" s="1853" t="s">
        <v>1</v>
      </c>
      <c r="I49" s="1853" t="s">
        <v>641</v>
      </c>
    </row>
    <row r="50" spans="1:9" ht="11.25" customHeight="1">
      <c r="A50" s="1853" t="s">
        <v>2101</v>
      </c>
      <c r="B50" s="1853" t="s">
        <v>0</v>
      </c>
      <c r="C50" s="1853" t="s">
        <v>2288</v>
      </c>
      <c r="D50" s="1853" t="s">
        <v>2289</v>
      </c>
      <c r="E50" s="1853" t="s">
        <v>2271</v>
      </c>
      <c r="F50" s="1853" t="s">
        <v>2290</v>
      </c>
      <c r="G50" s="1853" t="s">
        <v>1</v>
      </c>
      <c r="H50" s="1853" t="s">
        <v>1</v>
      </c>
      <c r="I50" s="1853" t="s">
        <v>641</v>
      </c>
    </row>
    <row r="51" spans="1:9" ht="11.25" customHeight="1">
      <c r="A51" s="1853" t="s">
        <v>2101</v>
      </c>
      <c r="B51" s="1853" t="s">
        <v>0</v>
      </c>
      <c r="C51" s="1853" t="s">
        <v>2291</v>
      </c>
      <c r="D51" s="1853" t="s">
        <v>2292</v>
      </c>
      <c r="E51" s="1853" t="s">
        <v>2271</v>
      </c>
      <c r="F51" s="1853" t="s">
        <v>2293</v>
      </c>
      <c r="G51" s="1853" t="s">
        <v>1</v>
      </c>
      <c r="H51" s="1853" t="s">
        <v>1</v>
      </c>
      <c r="I51" s="1853" t="s">
        <v>641</v>
      </c>
    </row>
    <row r="52" spans="1:9" ht="11.25" customHeight="1">
      <c r="A52" s="1853" t="s">
        <v>2101</v>
      </c>
      <c r="B52" s="1853" t="s">
        <v>0</v>
      </c>
      <c r="C52" s="1853" t="s">
        <v>2294</v>
      </c>
      <c r="D52" s="1853" t="s">
        <v>2295</v>
      </c>
      <c r="E52" s="1853" t="s">
        <v>2271</v>
      </c>
      <c r="F52" s="1853" t="s">
        <v>2296</v>
      </c>
      <c r="G52" s="1853" t="s">
        <v>1</v>
      </c>
      <c r="H52" s="1853" t="s">
        <v>1</v>
      </c>
      <c r="I52" s="1853" t="s">
        <v>641</v>
      </c>
    </row>
    <row r="53" spans="1:9" ht="11.25" customHeight="1">
      <c r="A53" s="1853" t="s">
        <v>2101</v>
      </c>
      <c r="B53" s="1853" t="s">
        <v>0</v>
      </c>
      <c r="C53" s="1853" t="s">
        <v>2297</v>
      </c>
      <c r="D53" s="1853" t="s">
        <v>2298</v>
      </c>
      <c r="E53" s="1853" t="s">
        <v>2271</v>
      </c>
      <c r="F53" s="1853" t="s">
        <v>2299</v>
      </c>
      <c r="G53" s="1853" t="s">
        <v>1</v>
      </c>
      <c r="H53" s="1853" t="s">
        <v>1</v>
      </c>
      <c r="I53" s="1853" t="s">
        <v>641</v>
      </c>
    </row>
    <row r="54" spans="1:9" ht="11.25" customHeight="1">
      <c r="A54" s="1853" t="s">
        <v>2101</v>
      </c>
      <c r="B54" s="1853" t="s">
        <v>0</v>
      </c>
      <c r="C54" s="1853" t="s">
        <v>2300</v>
      </c>
      <c r="D54" s="1853" t="s">
        <v>2301</v>
      </c>
      <c r="E54" s="1853" t="s">
        <v>2271</v>
      </c>
      <c r="F54" s="1853" t="s">
        <v>2302</v>
      </c>
      <c r="G54" s="1853" t="s">
        <v>1</v>
      </c>
      <c r="H54" s="1853" t="s">
        <v>1</v>
      </c>
      <c r="I54" s="1853" t="s">
        <v>641</v>
      </c>
    </row>
    <row r="55" spans="1:9" ht="11.25" customHeight="1">
      <c r="A55" s="1853" t="s">
        <v>2101</v>
      </c>
      <c r="B55" s="1853" t="s">
        <v>0</v>
      </c>
      <c r="C55" s="1853" t="s">
        <v>2303</v>
      </c>
      <c r="D55" s="1853" t="s">
        <v>2304</v>
      </c>
      <c r="E55" s="1853" t="s">
        <v>2271</v>
      </c>
      <c r="F55" s="1853" t="s">
        <v>2305</v>
      </c>
      <c r="G55" s="1853" t="s">
        <v>1</v>
      </c>
      <c r="H55" s="1853" t="s">
        <v>1</v>
      </c>
      <c r="I55" s="1853" t="s">
        <v>641</v>
      </c>
    </row>
    <row r="56" spans="1:9" ht="11.25" customHeight="1">
      <c r="A56" s="1853" t="s">
        <v>2101</v>
      </c>
      <c r="B56" s="1853" t="s">
        <v>0</v>
      </c>
      <c r="C56" s="1853" t="s">
        <v>2306</v>
      </c>
      <c r="D56" s="1853" t="s">
        <v>2307</v>
      </c>
      <c r="E56" s="1853" t="s">
        <v>2271</v>
      </c>
      <c r="F56" s="1853" t="s">
        <v>2308</v>
      </c>
      <c r="G56" s="1853" t="s">
        <v>1</v>
      </c>
      <c r="H56" s="1853" t="s">
        <v>1</v>
      </c>
      <c r="I56" s="1853" t="s">
        <v>641</v>
      </c>
    </row>
    <row r="57" spans="1:9" ht="11.25" customHeight="1">
      <c r="A57" s="1853" t="s">
        <v>2101</v>
      </c>
      <c r="B57" s="1853" t="s">
        <v>0</v>
      </c>
      <c r="C57" s="1853" t="s">
        <v>2309</v>
      </c>
      <c r="D57" s="1853" t="s">
        <v>2310</v>
      </c>
      <c r="E57" s="1853" t="s">
        <v>2271</v>
      </c>
      <c r="F57" s="1853" t="s">
        <v>2311</v>
      </c>
      <c r="G57" s="1853" t="s">
        <v>1</v>
      </c>
      <c r="H57" s="1853" t="s">
        <v>1</v>
      </c>
      <c r="I57" s="1853" t="s">
        <v>641</v>
      </c>
    </row>
    <row r="58" spans="1:9" ht="11.25" customHeight="1">
      <c r="A58" s="1853" t="s">
        <v>2101</v>
      </c>
      <c r="B58" s="1853" t="s">
        <v>0</v>
      </c>
      <c r="C58" s="1853" t="s">
        <v>2312</v>
      </c>
      <c r="D58" s="1853" t="s">
        <v>2313</v>
      </c>
      <c r="E58" s="1853" t="s">
        <v>2314</v>
      </c>
      <c r="F58" s="1853" t="s">
        <v>2159</v>
      </c>
      <c r="G58" s="1853" t="s">
        <v>2315</v>
      </c>
      <c r="H58" s="1853" t="s">
        <v>1</v>
      </c>
      <c r="I58" s="1853" t="s">
        <v>641</v>
      </c>
    </row>
    <row r="59" spans="1:9" ht="11.25" customHeight="1">
      <c r="A59" s="1853" t="s">
        <v>2101</v>
      </c>
      <c r="B59" s="1853" t="s">
        <v>0</v>
      </c>
      <c r="C59" s="1853" t="s">
        <v>2316</v>
      </c>
      <c r="D59" s="1853" t="s">
        <v>2317</v>
      </c>
      <c r="E59" s="1853" t="s">
        <v>2318</v>
      </c>
      <c r="F59" s="1853" t="s">
        <v>2105</v>
      </c>
      <c r="G59" s="1853" t="s">
        <v>2183</v>
      </c>
      <c r="H59" s="1853" t="s">
        <v>1</v>
      </c>
      <c r="I59" s="1853" t="s">
        <v>641</v>
      </c>
    </row>
    <row r="60" spans="1:9" ht="11.25" customHeight="1">
      <c r="A60" s="1853" t="s">
        <v>2101</v>
      </c>
      <c r="B60" s="1853" t="s">
        <v>0</v>
      </c>
      <c r="C60" s="1853" t="s">
        <v>2319</v>
      </c>
      <c r="D60" s="1853" t="s">
        <v>2320</v>
      </c>
      <c r="E60" s="1853" t="s">
        <v>2321</v>
      </c>
      <c r="F60" s="1853" t="s">
        <v>2105</v>
      </c>
      <c r="G60" s="1853" t="s">
        <v>1</v>
      </c>
      <c r="H60" s="1853" t="s">
        <v>1</v>
      </c>
      <c r="I60" s="1853" t="s">
        <v>641</v>
      </c>
    </row>
    <row r="61" spans="1:9" ht="11.25" customHeight="1">
      <c r="A61" s="1853" t="s">
        <v>2101</v>
      </c>
      <c r="B61" s="1853" t="s">
        <v>0</v>
      </c>
      <c r="C61" s="1853" t="s">
        <v>2322</v>
      </c>
      <c r="D61" s="1853" t="s">
        <v>2323</v>
      </c>
      <c r="E61" s="1853" t="s">
        <v>2324</v>
      </c>
      <c r="F61" s="1853" t="s">
        <v>2159</v>
      </c>
      <c r="G61" s="1853" t="s">
        <v>2325</v>
      </c>
      <c r="H61" s="1853" t="s">
        <v>1</v>
      </c>
      <c r="I61" s="1853" t="s">
        <v>641</v>
      </c>
    </row>
    <row r="62" spans="1:9" ht="11.25" customHeight="1">
      <c r="A62" s="1853" t="s">
        <v>2101</v>
      </c>
      <c r="B62" s="1853" t="s">
        <v>0</v>
      </c>
      <c r="C62" s="1853" t="s">
        <v>2326</v>
      </c>
      <c r="D62" s="1853" t="s">
        <v>2327</v>
      </c>
      <c r="E62" s="1853" t="s">
        <v>2328</v>
      </c>
      <c r="F62" s="1853" t="s">
        <v>2329</v>
      </c>
      <c r="G62" s="1853" t="s">
        <v>1</v>
      </c>
      <c r="H62" s="1853" t="s">
        <v>1</v>
      </c>
      <c r="I62" s="1853" t="s">
        <v>641</v>
      </c>
    </row>
    <row r="63" spans="1:9" ht="11.25" customHeight="1">
      <c r="A63" s="1853" t="s">
        <v>2101</v>
      </c>
      <c r="B63" s="1853" t="s">
        <v>0</v>
      </c>
      <c r="C63" s="1853" t="s">
        <v>2330</v>
      </c>
      <c r="D63" s="1853" t="s">
        <v>2331</v>
      </c>
      <c r="E63" s="1853" t="s">
        <v>2328</v>
      </c>
      <c r="F63" s="1853" t="s">
        <v>2308</v>
      </c>
      <c r="G63" s="1853" t="s">
        <v>1</v>
      </c>
      <c r="H63" s="1853" t="s">
        <v>1</v>
      </c>
      <c r="I63" s="1853" t="s">
        <v>641</v>
      </c>
    </row>
    <row r="64" spans="1:9" ht="11.25" customHeight="1">
      <c r="A64" s="1853" t="s">
        <v>2101</v>
      </c>
      <c r="B64" s="1853" t="s">
        <v>0</v>
      </c>
      <c r="C64" s="1853" t="s">
        <v>2332</v>
      </c>
      <c r="D64" s="1853" t="s">
        <v>2333</v>
      </c>
      <c r="E64" s="1853" t="s">
        <v>2328</v>
      </c>
      <c r="F64" s="1853" t="s">
        <v>2334</v>
      </c>
      <c r="G64" s="1853" t="s">
        <v>1</v>
      </c>
      <c r="H64" s="1853" t="s">
        <v>1</v>
      </c>
      <c r="I64" s="1853" t="s">
        <v>641</v>
      </c>
    </row>
    <row r="65" spans="1:9" ht="11.25" customHeight="1">
      <c r="A65" s="1853" t="s">
        <v>2101</v>
      </c>
      <c r="B65" s="1853" t="s">
        <v>0</v>
      </c>
      <c r="C65" s="1853" t="s">
        <v>2335</v>
      </c>
      <c r="D65" s="1853" t="s">
        <v>2336</v>
      </c>
      <c r="E65" s="1853" t="s">
        <v>2328</v>
      </c>
      <c r="F65" s="1853" t="s">
        <v>2337</v>
      </c>
      <c r="G65" s="1853" t="s">
        <v>1</v>
      </c>
      <c r="H65" s="1853" t="s">
        <v>1</v>
      </c>
      <c r="I65" s="1853" t="s">
        <v>641</v>
      </c>
    </row>
    <row r="66" spans="1:9" ht="11.25" customHeight="1">
      <c r="A66" s="1853" t="s">
        <v>2101</v>
      </c>
      <c r="B66" s="1853" t="s">
        <v>0</v>
      </c>
      <c r="C66" s="1853" t="s">
        <v>2338</v>
      </c>
      <c r="D66" s="1853" t="s">
        <v>2339</v>
      </c>
      <c r="E66" s="1853" t="s">
        <v>2328</v>
      </c>
      <c r="F66" s="1853" t="s">
        <v>2340</v>
      </c>
      <c r="G66" s="1853" t="s">
        <v>1</v>
      </c>
      <c r="H66" s="1853" t="s">
        <v>1</v>
      </c>
      <c r="I66" s="1853" t="s">
        <v>641</v>
      </c>
    </row>
    <row r="67" spans="1:9" ht="11.25" customHeight="1">
      <c r="A67" s="1853" t="s">
        <v>2101</v>
      </c>
      <c r="B67" s="1853" t="s">
        <v>0</v>
      </c>
      <c r="C67" s="1853" t="s">
        <v>2341</v>
      </c>
      <c r="D67" s="1853" t="s">
        <v>2342</v>
      </c>
      <c r="E67" s="1853" t="s">
        <v>2328</v>
      </c>
      <c r="F67" s="1853" t="s">
        <v>2343</v>
      </c>
      <c r="G67" s="1853" t="s">
        <v>1</v>
      </c>
      <c r="H67" s="1853" t="s">
        <v>1</v>
      </c>
      <c r="I67" s="1853" t="s">
        <v>641</v>
      </c>
    </row>
    <row r="68" spans="1:9" ht="11.25" customHeight="1">
      <c r="A68" s="1853" t="s">
        <v>2101</v>
      </c>
      <c r="B68" s="1853" t="s">
        <v>0</v>
      </c>
      <c r="C68" s="1853" t="s">
        <v>2344</v>
      </c>
      <c r="D68" s="1853" t="s">
        <v>2345</v>
      </c>
      <c r="E68" s="1853" t="s">
        <v>2328</v>
      </c>
      <c r="F68" s="1853" t="s">
        <v>2346</v>
      </c>
      <c r="G68" s="1853" t="s">
        <v>1</v>
      </c>
      <c r="H68" s="1853" t="s">
        <v>1</v>
      </c>
      <c r="I68" s="1853" t="s">
        <v>641</v>
      </c>
    </row>
    <row r="69" spans="1:9" ht="11.25" customHeight="1">
      <c r="A69" s="1853" t="s">
        <v>2101</v>
      </c>
      <c r="B69" s="1853" t="s">
        <v>0</v>
      </c>
      <c r="C69" s="1853" t="s">
        <v>2347</v>
      </c>
      <c r="D69" s="1853" t="s">
        <v>2348</v>
      </c>
      <c r="E69" s="1853" t="s">
        <v>2328</v>
      </c>
      <c r="F69" s="1853" t="s">
        <v>2349</v>
      </c>
      <c r="G69" s="1853" t="s">
        <v>1</v>
      </c>
      <c r="H69" s="1853" t="s">
        <v>1</v>
      </c>
      <c r="I69" s="1853" t="s">
        <v>641</v>
      </c>
    </row>
    <row r="70" spans="1:9" ht="11.25" customHeight="1">
      <c r="A70" s="1853" t="s">
        <v>2101</v>
      </c>
      <c r="B70" s="1853" t="s">
        <v>0</v>
      </c>
      <c r="C70" s="1853" t="s">
        <v>2350</v>
      </c>
      <c r="D70" s="1853" t="s">
        <v>2351</v>
      </c>
      <c r="E70" s="1853" t="s">
        <v>2328</v>
      </c>
      <c r="F70" s="1853" t="s">
        <v>2352</v>
      </c>
      <c r="G70" s="1853" t="s">
        <v>1</v>
      </c>
      <c r="H70" s="1853" t="s">
        <v>1</v>
      </c>
      <c r="I70" s="1853" t="s">
        <v>641</v>
      </c>
    </row>
    <row r="71" spans="1:9" ht="11.25" customHeight="1">
      <c r="A71" s="1853" t="s">
        <v>2101</v>
      </c>
      <c r="B71" s="1853" t="s">
        <v>0</v>
      </c>
      <c r="C71" s="1853" t="s">
        <v>2353</v>
      </c>
      <c r="D71" s="1853" t="s">
        <v>2354</v>
      </c>
      <c r="E71" s="1853" t="s">
        <v>2328</v>
      </c>
      <c r="F71" s="1853" t="s">
        <v>2355</v>
      </c>
      <c r="G71" s="1853" t="s">
        <v>1</v>
      </c>
      <c r="H71" s="1853" t="s">
        <v>1</v>
      </c>
      <c r="I71" s="1853" t="s">
        <v>641</v>
      </c>
    </row>
    <row r="72" spans="1:9" ht="11.25" customHeight="1">
      <c r="A72" s="1853" t="s">
        <v>2101</v>
      </c>
      <c r="B72" s="1853" t="s">
        <v>0</v>
      </c>
      <c r="C72" s="1853" t="s">
        <v>2356</v>
      </c>
      <c r="D72" s="1853" t="s">
        <v>2357</v>
      </c>
      <c r="E72" s="1853" t="s">
        <v>2328</v>
      </c>
      <c r="F72" s="1853" t="s">
        <v>2358</v>
      </c>
      <c r="G72" s="1853" t="s">
        <v>1</v>
      </c>
      <c r="H72" s="1853" t="s">
        <v>1</v>
      </c>
      <c r="I72" s="1853" t="s">
        <v>641</v>
      </c>
    </row>
    <row r="73" spans="1:9" ht="11.25" customHeight="1">
      <c r="A73" s="1853" t="s">
        <v>2101</v>
      </c>
      <c r="B73" s="1853" t="s">
        <v>0</v>
      </c>
      <c r="C73" s="1853" t="s">
        <v>2359</v>
      </c>
      <c r="D73" s="1853" t="s">
        <v>2360</v>
      </c>
      <c r="E73" s="1853" t="s">
        <v>2328</v>
      </c>
      <c r="F73" s="1853" t="s">
        <v>2361</v>
      </c>
      <c r="G73" s="1853" t="s">
        <v>1</v>
      </c>
      <c r="H73" s="1853" t="s">
        <v>1</v>
      </c>
      <c r="I73" s="1853" t="s">
        <v>641</v>
      </c>
    </row>
    <row r="74" spans="1:9" ht="11.25" customHeight="1">
      <c r="A74" s="1853" t="s">
        <v>2101</v>
      </c>
      <c r="B74" s="1853" t="s">
        <v>0</v>
      </c>
      <c r="C74" s="1853" t="s">
        <v>2362</v>
      </c>
      <c r="D74" s="1853" t="s">
        <v>2363</v>
      </c>
      <c r="E74" s="1853" t="s">
        <v>2328</v>
      </c>
      <c r="F74" s="1853" t="s">
        <v>2364</v>
      </c>
      <c r="G74" s="1853" t="s">
        <v>1</v>
      </c>
      <c r="H74" s="1853" t="s">
        <v>1</v>
      </c>
      <c r="I74" s="1853" t="s">
        <v>641</v>
      </c>
    </row>
    <row r="75" spans="1:9" ht="11.25" customHeight="1">
      <c r="A75" s="1853" t="s">
        <v>2101</v>
      </c>
      <c r="B75" s="1853" t="s">
        <v>0</v>
      </c>
      <c r="C75" s="1853" t="s">
        <v>2365</v>
      </c>
      <c r="D75" s="1853" t="s">
        <v>2366</v>
      </c>
      <c r="E75" s="1853" t="s">
        <v>2328</v>
      </c>
      <c r="F75" s="1853" t="s">
        <v>2367</v>
      </c>
      <c r="G75" s="1853" t="s">
        <v>1</v>
      </c>
      <c r="H75" s="1853" t="s">
        <v>1</v>
      </c>
      <c r="I75" s="1853" t="s">
        <v>641</v>
      </c>
    </row>
    <row r="76" spans="1:9" ht="11.25" customHeight="1">
      <c r="A76" s="1853" t="s">
        <v>2101</v>
      </c>
      <c r="B76" s="1853" t="s">
        <v>0</v>
      </c>
      <c r="C76" s="1853" t="s">
        <v>2368</v>
      </c>
      <c r="D76" s="1853" t="s">
        <v>2369</v>
      </c>
      <c r="E76" s="1853" t="s">
        <v>2328</v>
      </c>
      <c r="F76" s="1853" t="s">
        <v>2370</v>
      </c>
      <c r="G76" s="1853" t="s">
        <v>1</v>
      </c>
      <c r="H76" s="1853" t="s">
        <v>1</v>
      </c>
      <c r="I76" s="1853" t="s">
        <v>641</v>
      </c>
    </row>
    <row r="77" spans="1:9" ht="11.25" customHeight="1">
      <c r="A77" s="1853" t="s">
        <v>2101</v>
      </c>
      <c r="B77" s="1853" t="s">
        <v>0</v>
      </c>
      <c r="C77" s="1853" t="s">
        <v>2371</v>
      </c>
      <c r="D77" s="1853" t="s">
        <v>2372</v>
      </c>
      <c r="E77" s="1853" t="s">
        <v>2328</v>
      </c>
      <c r="F77" s="1853" t="s">
        <v>2373</v>
      </c>
      <c r="G77" s="1853" t="s">
        <v>1</v>
      </c>
      <c r="H77" s="1853" t="s">
        <v>1</v>
      </c>
      <c r="I77" s="1853" t="s">
        <v>641</v>
      </c>
    </row>
    <row r="78" spans="1:9" ht="11.25" customHeight="1">
      <c r="A78" s="1853" t="s">
        <v>2101</v>
      </c>
      <c r="B78" s="1853" t="s">
        <v>0</v>
      </c>
      <c r="C78" s="1853" t="s">
        <v>2374</v>
      </c>
      <c r="D78" s="1853" t="s">
        <v>2375</v>
      </c>
      <c r="E78" s="1853" t="s">
        <v>2328</v>
      </c>
      <c r="F78" s="1853" t="s">
        <v>2376</v>
      </c>
      <c r="G78" s="1853" t="s">
        <v>1</v>
      </c>
      <c r="H78" s="1853" t="s">
        <v>1</v>
      </c>
      <c r="I78" s="1853" t="s">
        <v>641</v>
      </c>
    </row>
    <row r="79" spans="1:9" ht="11.25" customHeight="1">
      <c r="A79" s="1853" t="s">
        <v>2101</v>
      </c>
      <c r="B79" s="1853" t="s">
        <v>0</v>
      </c>
      <c r="C79" s="1853" t="s">
        <v>2377</v>
      </c>
      <c r="D79" s="1853" t="s">
        <v>2378</v>
      </c>
      <c r="E79" s="1853" t="s">
        <v>2155</v>
      </c>
      <c r="F79" s="1853" t="s">
        <v>2379</v>
      </c>
      <c r="G79" s="1853" t="s">
        <v>1</v>
      </c>
      <c r="H79" s="1853" t="s">
        <v>1</v>
      </c>
      <c r="I79" s="1853" t="s">
        <v>641</v>
      </c>
    </row>
    <row r="80" spans="1:9" ht="11.25" customHeight="1">
      <c r="A80" s="1853" t="s">
        <v>2101</v>
      </c>
      <c r="B80" s="1853" t="s">
        <v>0</v>
      </c>
      <c r="C80" s="1853" t="s">
        <v>2380</v>
      </c>
      <c r="D80" s="1853" t="s">
        <v>2381</v>
      </c>
      <c r="E80" s="1853" t="s">
        <v>2382</v>
      </c>
      <c r="F80" s="1853" t="s">
        <v>2383</v>
      </c>
      <c r="G80" s="1853" t="s">
        <v>1</v>
      </c>
      <c r="H80" s="1853" t="s">
        <v>1</v>
      </c>
      <c r="I80" s="1853" t="s">
        <v>641</v>
      </c>
    </row>
    <row r="81" spans="1:9" ht="11.25" customHeight="1">
      <c r="A81" s="1853" t="s">
        <v>2101</v>
      </c>
      <c r="B81" s="1853" t="s">
        <v>0</v>
      </c>
      <c r="C81" s="1853" t="s">
        <v>2384</v>
      </c>
      <c r="D81" s="1853" t="s">
        <v>2385</v>
      </c>
      <c r="E81" s="1853" t="s">
        <v>2386</v>
      </c>
      <c r="F81" s="1853" t="s">
        <v>2387</v>
      </c>
      <c r="G81" s="1853" t="s">
        <v>1</v>
      </c>
      <c r="H81" s="1853" t="s">
        <v>1</v>
      </c>
      <c r="I81" s="1853" t="s">
        <v>641</v>
      </c>
    </row>
    <row r="82" spans="1:9" ht="11.25" customHeight="1">
      <c r="A82" s="1853" t="s">
        <v>2101</v>
      </c>
      <c r="B82" s="1853" t="s">
        <v>0</v>
      </c>
      <c r="C82" s="1853" t="s">
        <v>2388</v>
      </c>
      <c r="D82" s="1853" t="s">
        <v>2389</v>
      </c>
      <c r="E82" s="1853" t="s">
        <v>2390</v>
      </c>
      <c r="F82" s="1853" t="s">
        <v>2149</v>
      </c>
      <c r="G82" s="1853" t="s">
        <v>1</v>
      </c>
      <c r="H82" s="1853" t="s">
        <v>1</v>
      </c>
      <c r="I82" s="1853" t="s">
        <v>641</v>
      </c>
    </row>
    <row r="83" spans="1:9" ht="11.25" customHeight="1">
      <c r="A83" s="1853" t="s">
        <v>2101</v>
      </c>
      <c r="B83" s="1853" t="s">
        <v>0</v>
      </c>
      <c r="C83" s="1853" t="s">
        <v>2391</v>
      </c>
      <c r="D83" s="1853" t="s">
        <v>2392</v>
      </c>
      <c r="E83" s="1853" t="s">
        <v>2393</v>
      </c>
      <c r="F83" s="1853" t="s">
        <v>2329</v>
      </c>
      <c r="G83" s="1853" t="s">
        <v>1</v>
      </c>
      <c r="H83" s="1853" t="s">
        <v>1</v>
      </c>
      <c r="I83" s="1853" t="s">
        <v>641</v>
      </c>
    </row>
    <row r="84" spans="1:9" ht="11.25" customHeight="1">
      <c r="A84" s="1853" t="s">
        <v>2101</v>
      </c>
      <c r="B84" s="1853" t="s">
        <v>0</v>
      </c>
      <c r="C84" s="1853" t="s">
        <v>2394</v>
      </c>
      <c r="D84" s="1853" t="s">
        <v>2395</v>
      </c>
      <c r="E84" s="1853" t="s">
        <v>2396</v>
      </c>
      <c r="F84" s="1853" t="s">
        <v>2222</v>
      </c>
      <c r="G84" s="1853" t="s">
        <v>1</v>
      </c>
      <c r="H84" s="1853" t="s">
        <v>1</v>
      </c>
      <c r="I84" s="1853" t="s">
        <v>641</v>
      </c>
    </row>
    <row r="85" spans="1:9" ht="11.25" customHeight="1">
      <c r="A85" s="1853" t="s">
        <v>2101</v>
      </c>
      <c r="B85" s="1853" t="s">
        <v>0</v>
      </c>
      <c r="C85" s="1853" t="s">
        <v>2397</v>
      </c>
      <c r="D85" s="1853" t="s">
        <v>2398</v>
      </c>
      <c r="E85" s="1853" t="s">
        <v>2399</v>
      </c>
      <c r="F85" s="1853" t="s">
        <v>2230</v>
      </c>
      <c r="G85" s="1853" t="s">
        <v>1</v>
      </c>
      <c r="H85" s="1853" t="s">
        <v>1</v>
      </c>
      <c r="I85" s="1853" t="s">
        <v>641</v>
      </c>
    </row>
    <row r="86" spans="1:9" ht="11.25" customHeight="1">
      <c r="A86" s="1853" t="s">
        <v>2101</v>
      </c>
      <c r="B86" s="1853" t="s">
        <v>0</v>
      </c>
      <c r="C86" s="1853" t="s">
        <v>2400</v>
      </c>
      <c r="D86" s="1853" t="s">
        <v>2401</v>
      </c>
      <c r="E86" s="1853" t="s">
        <v>2402</v>
      </c>
      <c r="F86" s="1853" t="s">
        <v>2173</v>
      </c>
      <c r="G86" s="1853" t="s">
        <v>1</v>
      </c>
      <c r="H86" s="1853" t="s">
        <v>1</v>
      </c>
      <c r="I86" s="1853" t="s">
        <v>641</v>
      </c>
    </row>
    <row r="87" spans="1:9" ht="11.25" customHeight="1">
      <c r="A87" s="1853" t="s">
        <v>2101</v>
      </c>
      <c r="B87" s="1853" t="s">
        <v>0</v>
      </c>
      <c r="C87" s="1853" t="s">
        <v>2403</v>
      </c>
      <c r="D87" s="1853" t="s">
        <v>2404</v>
      </c>
      <c r="E87" s="1853" t="s">
        <v>2405</v>
      </c>
      <c r="F87" s="1853" t="s">
        <v>2230</v>
      </c>
      <c r="G87" s="1853" t="s">
        <v>2406</v>
      </c>
      <c r="H87" s="1853" t="s">
        <v>1</v>
      </c>
      <c r="I87" s="1853" t="s">
        <v>641</v>
      </c>
    </row>
    <row r="88" spans="1:9" ht="11.25" customHeight="1">
      <c r="A88" s="1853" t="s">
        <v>2101</v>
      </c>
      <c r="B88" s="1853" t="s">
        <v>0</v>
      </c>
      <c r="C88" s="1853" t="s">
        <v>2407</v>
      </c>
      <c r="D88" s="1853" t="s">
        <v>2408</v>
      </c>
      <c r="E88" s="1853" t="s">
        <v>2409</v>
      </c>
      <c r="F88" s="1853" t="s">
        <v>2211</v>
      </c>
      <c r="G88" s="1853" t="s">
        <v>1</v>
      </c>
      <c r="H88" s="1853" t="s">
        <v>1</v>
      </c>
      <c r="I88" s="1853" t="s">
        <v>641</v>
      </c>
    </row>
    <row r="89" spans="1:9" ht="11.25" customHeight="1">
      <c r="A89" s="1853" t="s">
        <v>2101</v>
      </c>
      <c r="B89" s="1853" t="s">
        <v>0</v>
      </c>
      <c r="C89" s="1853" t="s">
        <v>2410</v>
      </c>
      <c r="D89" s="1853" t="s">
        <v>2411</v>
      </c>
      <c r="E89" s="1853" t="s">
        <v>2412</v>
      </c>
      <c r="F89" s="1853" t="s">
        <v>2105</v>
      </c>
      <c r="G89" s="1853" t="s">
        <v>1</v>
      </c>
      <c r="H89" s="1853" t="s">
        <v>1</v>
      </c>
      <c r="I89" s="1853" t="s">
        <v>641</v>
      </c>
    </row>
    <row r="90" spans="1:9" ht="11.25" customHeight="1">
      <c r="A90" s="1853" t="s">
        <v>2101</v>
      </c>
      <c r="B90" s="1853" t="s">
        <v>0</v>
      </c>
      <c r="C90" s="1853" t="s">
        <v>2413</v>
      </c>
      <c r="D90" s="1853" t="s">
        <v>2414</v>
      </c>
      <c r="E90" s="1853" t="s">
        <v>2415</v>
      </c>
      <c r="F90" s="1853" t="s">
        <v>2416</v>
      </c>
      <c r="G90" s="1853" t="s">
        <v>1</v>
      </c>
      <c r="H90" s="1853" t="s">
        <v>1</v>
      </c>
      <c r="I90" s="1853" t="s">
        <v>641</v>
      </c>
    </row>
    <row r="91" spans="1:9" ht="11.25" customHeight="1">
      <c r="A91" s="1853" t="s">
        <v>2101</v>
      </c>
      <c r="B91" s="1853" t="s">
        <v>0</v>
      </c>
      <c r="C91" s="1853" t="s">
        <v>2417</v>
      </c>
      <c r="D91" s="1853" t="s">
        <v>2418</v>
      </c>
      <c r="E91" s="1853" t="s">
        <v>2419</v>
      </c>
      <c r="F91" s="1853" t="s">
        <v>2416</v>
      </c>
      <c r="G91" s="1853" t="s">
        <v>2420</v>
      </c>
      <c r="H91" s="1853" t="s">
        <v>1</v>
      </c>
      <c r="I91" s="1853" t="s">
        <v>641</v>
      </c>
    </row>
    <row r="92" spans="1:9" ht="11.25" customHeight="1">
      <c r="A92" s="1853" t="s">
        <v>2101</v>
      </c>
      <c r="B92" s="1853" t="s">
        <v>0</v>
      </c>
      <c r="C92" s="1853" t="s">
        <v>2421</v>
      </c>
      <c r="D92" s="1853" t="s">
        <v>2422</v>
      </c>
      <c r="E92" s="1853" t="s">
        <v>2423</v>
      </c>
      <c r="F92" s="1853" t="s">
        <v>2424</v>
      </c>
      <c r="G92" s="1853" t="s">
        <v>2425</v>
      </c>
      <c r="H92" s="1853" t="s">
        <v>1</v>
      </c>
      <c r="I92" s="1853" t="s">
        <v>641</v>
      </c>
    </row>
    <row r="93" spans="1:9" ht="11.25" customHeight="1">
      <c r="A93" s="1853" t="s">
        <v>2101</v>
      </c>
      <c r="B93" s="1853" t="s">
        <v>0</v>
      </c>
      <c r="C93" s="1853" t="s">
        <v>2426</v>
      </c>
      <c r="D93" s="1853" t="s">
        <v>2427</v>
      </c>
      <c r="E93" s="1853" t="s">
        <v>2428</v>
      </c>
      <c r="F93" s="1853" t="s">
        <v>2230</v>
      </c>
      <c r="G93" s="1853" t="s">
        <v>2429</v>
      </c>
      <c r="H93" s="1853" t="s">
        <v>1</v>
      </c>
      <c r="I93" s="1853" t="s">
        <v>641</v>
      </c>
    </row>
    <row r="94" spans="1:9" ht="11.25" customHeight="1">
      <c r="A94" s="1853" t="s">
        <v>2101</v>
      </c>
      <c r="B94" s="1853" t="s">
        <v>0</v>
      </c>
      <c r="C94" s="1853" t="s">
        <v>2430</v>
      </c>
      <c r="D94" s="1853" t="s">
        <v>2431</v>
      </c>
      <c r="E94" s="1853" t="s">
        <v>2432</v>
      </c>
      <c r="F94" s="1853" t="s">
        <v>2178</v>
      </c>
      <c r="G94" s="1853" t="s">
        <v>2433</v>
      </c>
      <c r="H94" s="1853" t="s">
        <v>1</v>
      </c>
      <c r="I94" s="1853" t="s">
        <v>641</v>
      </c>
    </row>
    <row r="95" spans="1:9" ht="11.25" customHeight="1">
      <c r="A95" s="1853" t="s">
        <v>2101</v>
      </c>
      <c r="B95" s="1853" t="s">
        <v>0</v>
      </c>
      <c r="C95" s="1853" t="s">
        <v>2434</v>
      </c>
      <c r="D95" s="1853" t="s">
        <v>2435</v>
      </c>
      <c r="E95" s="1853" t="s">
        <v>2436</v>
      </c>
      <c r="F95" s="1853" t="s">
        <v>2222</v>
      </c>
      <c r="G95" s="1853" t="s">
        <v>1</v>
      </c>
      <c r="H95" s="1853" t="s">
        <v>1</v>
      </c>
      <c r="I95" s="1853" t="s">
        <v>641</v>
      </c>
    </row>
    <row r="96" spans="1:9" ht="11.25" customHeight="1">
      <c r="A96" s="1853" t="s">
        <v>2101</v>
      </c>
      <c r="B96" s="1853" t="s">
        <v>0</v>
      </c>
      <c r="C96" s="1853" t="s">
        <v>2437</v>
      </c>
      <c r="D96" s="1853" t="s">
        <v>2438</v>
      </c>
      <c r="E96" s="1853" t="s">
        <v>2439</v>
      </c>
      <c r="F96" s="1853" t="s">
        <v>2178</v>
      </c>
      <c r="G96" s="1853" t="s">
        <v>1</v>
      </c>
      <c r="H96" s="1853" t="s">
        <v>1</v>
      </c>
      <c r="I96" s="1853" t="s">
        <v>641</v>
      </c>
    </row>
    <row r="97" spans="1:9" ht="11.25" customHeight="1">
      <c r="A97" s="1853" t="s">
        <v>2101</v>
      </c>
      <c r="B97" s="1853" t="s">
        <v>0</v>
      </c>
      <c r="C97" s="1853" t="s">
        <v>2440</v>
      </c>
      <c r="D97" s="1853" t="s">
        <v>2441</v>
      </c>
      <c r="E97" s="1853" t="s">
        <v>2442</v>
      </c>
      <c r="F97" s="1853" t="s">
        <v>2149</v>
      </c>
      <c r="G97" s="1853" t="s">
        <v>1</v>
      </c>
      <c r="H97" s="1853" t="s">
        <v>1</v>
      </c>
      <c r="I97" s="1853" t="s">
        <v>641</v>
      </c>
    </row>
    <row r="98" spans="1:9" ht="11.25" customHeight="1">
      <c r="A98" s="1853" t="s">
        <v>2101</v>
      </c>
      <c r="B98" s="1853" t="s">
        <v>0</v>
      </c>
      <c r="C98" s="1853" t="s">
        <v>2443</v>
      </c>
      <c r="D98" s="1853" t="s">
        <v>2444</v>
      </c>
      <c r="E98" s="1853" t="s">
        <v>2445</v>
      </c>
      <c r="F98" s="1853" t="s">
        <v>2207</v>
      </c>
      <c r="G98" s="1853" t="s">
        <v>2446</v>
      </c>
      <c r="H98" s="1853" t="s">
        <v>1</v>
      </c>
      <c r="I98" s="1853" t="s">
        <v>641</v>
      </c>
    </row>
    <row r="99" spans="1:9" ht="11.25" customHeight="1">
      <c r="A99" s="1853" t="s">
        <v>2101</v>
      </c>
      <c r="B99" s="1853" t="s">
        <v>0</v>
      </c>
      <c r="C99" s="1853" t="s">
        <v>2447</v>
      </c>
      <c r="D99" s="1853" t="s">
        <v>2448</v>
      </c>
      <c r="E99" s="1853" t="s">
        <v>2449</v>
      </c>
      <c r="F99" s="1853" t="s">
        <v>2105</v>
      </c>
      <c r="G99" s="1853" t="s">
        <v>1</v>
      </c>
      <c r="H99" s="1853" t="s">
        <v>1</v>
      </c>
      <c r="I99" s="1853" t="s">
        <v>641</v>
      </c>
    </row>
    <row r="100" spans="1:9" ht="11.25" customHeight="1">
      <c r="A100" s="1853" t="s">
        <v>2101</v>
      </c>
      <c r="B100" s="1853" t="s">
        <v>0</v>
      </c>
      <c r="C100" s="1853" t="s">
        <v>2450</v>
      </c>
      <c r="D100" s="1853" t="s">
        <v>8</v>
      </c>
      <c r="E100" s="1853" t="s">
        <v>10</v>
      </c>
      <c r="F100" s="1853" t="s">
        <v>12</v>
      </c>
      <c r="G100" s="1853" t="s">
        <v>1</v>
      </c>
      <c r="H100" s="1853" t="s">
        <v>1</v>
      </c>
      <c r="I100" s="1853" t="s">
        <v>641</v>
      </c>
    </row>
    <row r="101" spans="1:9" ht="11.25" customHeight="1">
      <c r="A101" s="1853" t="s">
        <v>2101</v>
      </c>
      <c r="B101" s="1853" t="s">
        <v>0</v>
      </c>
      <c r="C101" s="1853" t="s">
        <v>2451</v>
      </c>
      <c r="D101" s="1853" t="s">
        <v>2452</v>
      </c>
      <c r="E101" s="1853" t="s">
        <v>2453</v>
      </c>
      <c r="F101" s="1853" t="s">
        <v>2173</v>
      </c>
      <c r="G101" s="1853" t="s">
        <v>1</v>
      </c>
      <c r="H101" s="1853" t="s">
        <v>1</v>
      </c>
      <c r="I101" s="1853" t="s">
        <v>641</v>
      </c>
    </row>
    <row r="102" spans="1:9" ht="11.25" customHeight="1">
      <c r="A102" s="1853" t="s">
        <v>2101</v>
      </c>
      <c r="B102" s="1853" t="s">
        <v>0</v>
      </c>
      <c r="C102" s="1853" t="s">
        <v>2454</v>
      </c>
      <c r="D102" s="1853" t="s">
        <v>2455</v>
      </c>
      <c r="E102" s="1853" t="s">
        <v>2456</v>
      </c>
      <c r="F102" s="1853" t="s">
        <v>12</v>
      </c>
      <c r="G102" s="1853" t="s">
        <v>1</v>
      </c>
      <c r="H102" s="1853" t="s">
        <v>1</v>
      </c>
      <c r="I102" s="1853" t="s">
        <v>641</v>
      </c>
    </row>
    <row r="103" spans="1:9" ht="11.25" customHeight="1">
      <c r="A103" s="1853" t="s">
        <v>2101</v>
      </c>
      <c r="B103" s="1853" t="s">
        <v>0</v>
      </c>
      <c r="C103" s="1853" t="s">
        <v>2457</v>
      </c>
      <c r="D103" s="1853" t="s">
        <v>2458</v>
      </c>
      <c r="E103" s="1853" t="s">
        <v>2459</v>
      </c>
      <c r="F103" s="1853" t="s">
        <v>2178</v>
      </c>
      <c r="G103" s="1853" t="s">
        <v>1</v>
      </c>
      <c r="H103" s="1853" t="s">
        <v>1</v>
      </c>
      <c r="I103" s="1853" t="s">
        <v>641</v>
      </c>
    </row>
    <row r="104" spans="1:9" ht="11.25" customHeight="1">
      <c r="A104" s="1853" t="s">
        <v>2101</v>
      </c>
      <c r="B104" s="1853" t="s">
        <v>0</v>
      </c>
      <c r="C104" s="1853" t="s">
        <v>2460</v>
      </c>
      <c r="D104" s="1853" t="s">
        <v>2461</v>
      </c>
      <c r="E104" s="1853" t="s">
        <v>2462</v>
      </c>
      <c r="F104" s="1853" t="s">
        <v>12</v>
      </c>
      <c r="G104" s="1853" t="s">
        <v>1</v>
      </c>
      <c r="H104" s="1853" t="s">
        <v>1</v>
      </c>
      <c r="I104" s="1853" t="s">
        <v>641</v>
      </c>
    </row>
    <row r="105" spans="1:9" ht="11.25" customHeight="1">
      <c r="A105" s="1853" t="s">
        <v>2101</v>
      </c>
      <c r="B105" s="1853" t="s">
        <v>0</v>
      </c>
      <c r="C105" s="1853" t="s">
        <v>2463</v>
      </c>
      <c r="D105" s="1853" t="s">
        <v>2464</v>
      </c>
      <c r="E105" s="1853" t="s">
        <v>2465</v>
      </c>
      <c r="F105" s="1853" t="s">
        <v>2466</v>
      </c>
      <c r="G105" s="1853" t="s">
        <v>2467</v>
      </c>
      <c r="H105" s="1853" t="s">
        <v>1</v>
      </c>
      <c r="I105" s="1853" t="s">
        <v>641</v>
      </c>
    </row>
    <row r="106" spans="1:9" ht="11.25" customHeight="1">
      <c r="A106" s="1853" t="s">
        <v>2101</v>
      </c>
      <c r="B106" s="1853" t="s">
        <v>0</v>
      </c>
      <c r="C106" s="1853" t="s">
        <v>2468</v>
      </c>
      <c r="D106" s="1853" t="s">
        <v>2469</v>
      </c>
      <c r="E106" s="1853" t="s">
        <v>2470</v>
      </c>
      <c r="F106" s="1853" t="s">
        <v>12</v>
      </c>
      <c r="G106" s="1853" t="s">
        <v>1</v>
      </c>
      <c r="H106" s="1853" t="s">
        <v>1</v>
      </c>
      <c r="I106" s="1853" t="s">
        <v>641</v>
      </c>
    </row>
    <row r="107" spans="1:9" ht="11.25" customHeight="1">
      <c r="A107" s="1853" t="s">
        <v>2101</v>
      </c>
      <c r="B107" s="1853" t="s">
        <v>0</v>
      </c>
      <c r="C107" s="1853" t="s">
        <v>2471</v>
      </c>
      <c r="D107" s="1853" t="s">
        <v>2472</v>
      </c>
      <c r="E107" s="1853" t="s">
        <v>2473</v>
      </c>
      <c r="F107" s="1853" t="s">
        <v>2474</v>
      </c>
      <c r="G107" s="1853" t="s">
        <v>1</v>
      </c>
      <c r="H107" s="1853" t="s">
        <v>1</v>
      </c>
      <c r="I107" s="1853" t="s">
        <v>641</v>
      </c>
    </row>
    <row r="108" spans="1:9" ht="11.25" customHeight="1">
      <c r="A108" s="1853" t="s">
        <v>2101</v>
      </c>
      <c r="B108" s="1853" t="s">
        <v>0</v>
      </c>
      <c r="C108" s="1853" t="s">
        <v>2475</v>
      </c>
      <c r="D108" s="1853" t="s">
        <v>2476</v>
      </c>
      <c r="E108" s="1853" t="s">
        <v>2473</v>
      </c>
      <c r="F108" s="1853" t="s">
        <v>2178</v>
      </c>
      <c r="G108" s="1853" t="s">
        <v>2325</v>
      </c>
      <c r="H108" s="1853" t="s">
        <v>1</v>
      </c>
      <c r="I108" s="1853" t="s">
        <v>641</v>
      </c>
    </row>
    <row r="109" spans="1:9" ht="11.25" customHeight="1">
      <c r="A109" s="1853" t="s">
        <v>2101</v>
      </c>
      <c r="B109" s="1853" t="s">
        <v>0</v>
      </c>
      <c r="C109" s="1853" t="s">
        <v>2477</v>
      </c>
      <c r="D109" s="1853" t="s">
        <v>2478</v>
      </c>
      <c r="E109" s="1853" t="s">
        <v>2479</v>
      </c>
      <c r="F109" s="1853" t="s">
        <v>2480</v>
      </c>
      <c r="G109" s="1853" t="s">
        <v>1</v>
      </c>
      <c r="H109" s="1853" t="s">
        <v>1</v>
      </c>
      <c r="I109" s="1853" t="s">
        <v>641</v>
      </c>
    </row>
    <row r="110" spans="1:9" ht="11.25" customHeight="1">
      <c r="A110" s="1853" t="s">
        <v>2101</v>
      </c>
      <c r="B110" s="1853" t="s">
        <v>0</v>
      </c>
      <c r="C110" s="1853" t="s">
        <v>2481</v>
      </c>
      <c r="D110" s="1853" t="s">
        <v>2482</v>
      </c>
      <c r="E110" s="1853" t="s">
        <v>2483</v>
      </c>
      <c r="F110" s="1853" t="s">
        <v>2141</v>
      </c>
      <c r="G110" s="1853" t="s">
        <v>2484</v>
      </c>
      <c r="H110" s="1853" t="s">
        <v>1</v>
      </c>
      <c r="I110" s="1853" t="s">
        <v>641</v>
      </c>
    </row>
    <row r="111" spans="1:9" ht="11.25" customHeight="1">
      <c r="A111" s="1853" t="s">
        <v>2101</v>
      </c>
      <c r="B111" s="1853" t="s">
        <v>0</v>
      </c>
      <c r="C111" s="1853" t="s">
        <v>2485</v>
      </c>
      <c r="D111" s="1853" t="s">
        <v>2486</v>
      </c>
      <c r="E111" s="1853" t="s">
        <v>2487</v>
      </c>
      <c r="F111" s="1853" t="s">
        <v>2149</v>
      </c>
      <c r="G111" s="1853" t="s">
        <v>1</v>
      </c>
      <c r="H111" s="1853" t="s">
        <v>1</v>
      </c>
      <c r="I111" s="1853" t="s">
        <v>641</v>
      </c>
    </row>
    <row r="112" spans="1:9" ht="11.25" customHeight="1">
      <c r="A112" s="1853" t="s">
        <v>2101</v>
      </c>
      <c r="B112" s="1853" t="s">
        <v>0</v>
      </c>
      <c r="C112" s="1853" t="s">
        <v>2488</v>
      </c>
      <c r="D112" s="1853" t="s">
        <v>2489</v>
      </c>
      <c r="E112" s="1853" t="s">
        <v>2490</v>
      </c>
      <c r="F112" s="1853" t="s">
        <v>2105</v>
      </c>
      <c r="G112" s="1853" t="s">
        <v>1</v>
      </c>
      <c r="H112" s="1853" t="s">
        <v>1</v>
      </c>
      <c r="I112" s="1853" t="s">
        <v>641</v>
      </c>
    </row>
    <row r="113" spans="1:9" ht="11.25" customHeight="1">
      <c r="A113" s="1853" t="s">
        <v>2101</v>
      </c>
      <c r="B113" s="1853" t="s">
        <v>0</v>
      </c>
      <c r="C113" s="1853" t="s">
        <v>2491</v>
      </c>
      <c r="D113" s="1853" t="s">
        <v>2492</v>
      </c>
      <c r="E113" s="1853" t="s">
        <v>2493</v>
      </c>
      <c r="F113" s="1853" t="s">
        <v>2329</v>
      </c>
      <c r="G113" s="1853" t="s">
        <v>2494</v>
      </c>
      <c r="H113" s="1853" t="s">
        <v>1</v>
      </c>
      <c r="I113" s="1853" t="s">
        <v>641</v>
      </c>
    </row>
    <row r="114" spans="1:9" ht="11.25" customHeight="1">
      <c r="A114" s="1853" t="s">
        <v>2101</v>
      </c>
      <c r="B114" s="1853" t="s">
        <v>0</v>
      </c>
      <c r="C114" s="1853" t="s">
        <v>2495</v>
      </c>
      <c r="D114" s="1853" t="s">
        <v>2496</v>
      </c>
      <c r="E114" s="1853" t="s">
        <v>2497</v>
      </c>
      <c r="F114" s="1853" t="s">
        <v>2498</v>
      </c>
      <c r="G114" s="1853" t="s">
        <v>2499</v>
      </c>
      <c r="H114" s="1853" t="s">
        <v>1</v>
      </c>
      <c r="I114" s="1853" t="s">
        <v>641</v>
      </c>
    </row>
    <row r="115" spans="1:9" ht="11.25" customHeight="1">
      <c r="A115" s="1853" t="s">
        <v>2101</v>
      </c>
      <c r="B115" s="1853" t="s">
        <v>0</v>
      </c>
      <c r="C115" s="1853" t="s">
        <v>2500</v>
      </c>
      <c r="D115" s="1853" t="s">
        <v>2501</v>
      </c>
      <c r="E115" s="1853" t="s">
        <v>2502</v>
      </c>
      <c r="F115" s="1853" t="s">
        <v>2207</v>
      </c>
      <c r="G115" s="1853" t="s">
        <v>2503</v>
      </c>
      <c r="H115" s="1853" t="s">
        <v>1</v>
      </c>
      <c r="I115" s="1853" t="s">
        <v>641</v>
      </c>
    </row>
    <row r="116" spans="1:9" ht="11.25" customHeight="1">
      <c r="A116" s="1853" t="s">
        <v>2101</v>
      </c>
      <c r="B116" s="1853" t="s">
        <v>0</v>
      </c>
      <c r="C116" s="1853" t="s">
        <v>2504</v>
      </c>
      <c r="D116" s="1853" t="s">
        <v>2505</v>
      </c>
      <c r="E116" s="1853" t="s">
        <v>2506</v>
      </c>
      <c r="F116" s="1853" t="s">
        <v>2132</v>
      </c>
      <c r="G116" s="1853" t="s">
        <v>1</v>
      </c>
      <c r="H116" s="1853" t="s">
        <v>1</v>
      </c>
      <c r="I116" s="1853" t="s">
        <v>641</v>
      </c>
    </row>
    <row r="117" spans="1:9" ht="11.25" customHeight="1">
      <c r="A117" s="1853" t="s">
        <v>2101</v>
      </c>
      <c r="B117" s="1853" t="s">
        <v>0</v>
      </c>
      <c r="C117" s="1853" t="s">
        <v>2507</v>
      </c>
      <c r="D117" s="1853" t="s">
        <v>2508</v>
      </c>
      <c r="E117" s="1853" t="s">
        <v>2254</v>
      </c>
      <c r="F117" s="1853" t="s">
        <v>2509</v>
      </c>
      <c r="G117" s="1853" t="s">
        <v>1</v>
      </c>
      <c r="H117" s="1853" t="s">
        <v>1</v>
      </c>
      <c r="I117" s="1853" t="s">
        <v>641</v>
      </c>
    </row>
    <row r="118" spans="1:9" ht="11.25" customHeight="1">
      <c r="A118" s="1853" t="s">
        <v>2101</v>
      </c>
      <c r="B118" s="1853" t="s">
        <v>0</v>
      </c>
      <c r="C118" s="1853" t="s">
        <v>2510</v>
      </c>
      <c r="D118" s="1853" t="s">
        <v>2511</v>
      </c>
      <c r="E118" s="1853" t="s">
        <v>2512</v>
      </c>
      <c r="F118" s="1853" t="s">
        <v>2141</v>
      </c>
      <c r="G118" s="1853" t="s">
        <v>1</v>
      </c>
      <c r="H118" s="1853" t="s">
        <v>1</v>
      </c>
      <c r="I118" s="1853" t="s">
        <v>641</v>
      </c>
    </row>
    <row r="119" spans="1:9" ht="11.25" customHeight="1">
      <c r="A119" s="1853" t="s">
        <v>2101</v>
      </c>
      <c r="B119" s="1853" t="s">
        <v>0</v>
      </c>
      <c r="C119" s="1853" t="s">
        <v>2513</v>
      </c>
      <c r="D119" s="1853" t="s">
        <v>2514</v>
      </c>
      <c r="E119" s="1853" t="s">
        <v>2515</v>
      </c>
      <c r="F119" s="1853" t="s">
        <v>2329</v>
      </c>
      <c r="G119" s="1853" t="s">
        <v>1</v>
      </c>
      <c r="H119" s="1853" t="s">
        <v>1</v>
      </c>
      <c r="I119" s="1853" t="s">
        <v>641</v>
      </c>
    </row>
    <row r="120" spans="1:9" ht="11.25" customHeight="1">
      <c r="A120" s="1853" t="s">
        <v>2101</v>
      </c>
      <c r="B120" s="1853" t="s">
        <v>0</v>
      </c>
      <c r="C120" s="1853" t="s">
        <v>2516</v>
      </c>
      <c r="D120" s="1853" t="s">
        <v>2517</v>
      </c>
      <c r="E120" s="1853" t="s">
        <v>2518</v>
      </c>
      <c r="F120" s="1853" t="s">
        <v>2149</v>
      </c>
      <c r="G120" s="1853" t="s">
        <v>1</v>
      </c>
      <c r="H120" s="1853" t="s">
        <v>1</v>
      </c>
      <c r="I120" s="1853" t="s">
        <v>641</v>
      </c>
    </row>
    <row r="121" spans="1:9" ht="11.25" customHeight="1">
      <c r="A121" s="1853" t="s">
        <v>2101</v>
      </c>
      <c r="B121" s="1853" t="s">
        <v>0</v>
      </c>
      <c r="C121" s="1853" t="s">
        <v>2519</v>
      </c>
      <c r="D121" s="1853" t="s">
        <v>2520</v>
      </c>
      <c r="E121" s="1853" t="s">
        <v>2382</v>
      </c>
      <c r="F121" s="1853" t="s">
        <v>2521</v>
      </c>
      <c r="G121" s="1853" t="s">
        <v>1</v>
      </c>
      <c r="H121" s="1853" t="s">
        <v>1</v>
      </c>
      <c r="I121" s="1853" t="s">
        <v>641</v>
      </c>
    </row>
    <row r="122" spans="1:9" ht="11.25" customHeight="1">
      <c r="A122" s="1853" t="s">
        <v>2101</v>
      </c>
      <c r="B122" s="1853" t="s">
        <v>0</v>
      </c>
      <c r="C122" s="1853" t="s">
        <v>2522</v>
      </c>
      <c r="D122" s="1853" t="s">
        <v>2523</v>
      </c>
      <c r="E122" s="1853" t="s">
        <v>2524</v>
      </c>
      <c r="F122" s="1853" t="s">
        <v>2178</v>
      </c>
      <c r="G122" s="1853" t="s">
        <v>1</v>
      </c>
      <c r="H122" s="1853" t="s">
        <v>1</v>
      </c>
      <c r="I122" s="1853" t="s">
        <v>641</v>
      </c>
    </row>
    <row r="123" spans="1:9" ht="11.25" customHeight="1">
      <c r="A123" s="1853" t="s">
        <v>2101</v>
      </c>
      <c r="B123" s="1853" t="s">
        <v>0</v>
      </c>
      <c r="C123" s="1853" t="s">
        <v>2525</v>
      </c>
      <c r="D123" s="1853" t="s">
        <v>2526</v>
      </c>
      <c r="E123" s="1853" t="s">
        <v>2527</v>
      </c>
      <c r="F123" s="1853" t="s">
        <v>2528</v>
      </c>
      <c r="G123" s="1853" t="s">
        <v>1</v>
      </c>
      <c r="H123" s="1853" t="s">
        <v>1</v>
      </c>
      <c r="I123" s="1853" t="s">
        <v>641</v>
      </c>
    </row>
    <row r="124" spans="1:9" ht="11.25" customHeight="1">
      <c r="A124" s="1853" t="s">
        <v>2101</v>
      </c>
      <c r="B124" s="1853" t="s">
        <v>0</v>
      </c>
      <c r="C124" s="1853" t="s">
        <v>2529</v>
      </c>
      <c r="D124" s="1853" t="s">
        <v>2530</v>
      </c>
      <c r="E124" s="1853" t="s">
        <v>2531</v>
      </c>
      <c r="F124" s="1853" t="s">
        <v>2222</v>
      </c>
      <c r="G124" s="1853" t="s">
        <v>1</v>
      </c>
      <c r="H124" s="1853" t="s">
        <v>1</v>
      </c>
      <c r="I124" s="1853" t="s">
        <v>641</v>
      </c>
    </row>
    <row r="125" spans="1:9" ht="11.25" customHeight="1">
      <c r="A125" s="1853" t="s">
        <v>2101</v>
      </c>
      <c r="B125" s="1853" t="s">
        <v>0</v>
      </c>
      <c r="C125" s="1853" t="s">
        <v>2532</v>
      </c>
      <c r="D125" s="1853" t="s">
        <v>2533</v>
      </c>
      <c r="E125" s="1853" t="s">
        <v>2534</v>
      </c>
      <c r="F125" s="1853" t="s">
        <v>2528</v>
      </c>
      <c r="G125" s="1853" t="s">
        <v>1</v>
      </c>
      <c r="H125" s="1853" t="s">
        <v>1</v>
      </c>
      <c r="I125" s="1853" t="s">
        <v>641</v>
      </c>
    </row>
    <row r="126" spans="1:9" ht="11.25" customHeight="1">
      <c r="A126" s="1853" t="s">
        <v>2101</v>
      </c>
      <c r="B126" s="1853" t="s">
        <v>0</v>
      </c>
      <c r="C126" s="1853" t="s">
        <v>2535</v>
      </c>
      <c r="D126" s="1853" t="s">
        <v>2536</v>
      </c>
      <c r="E126" s="1853" t="s">
        <v>2537</v>
      </c>
      <c r="F126" s="1853" t="s">
        <v>2424</v>
      </c>
      <c r="G126" s="1853" t="s">
        <v>1</v>
      </c>
      <c r="H126" s="1853" t="s">
        <v>1</v>
      </c>
      <c r="I126" s="1853" t="s">
        <v>641</v>
      </c>
    </row>
    <row r="127" spans="1:9" ht="11.25" customHeight="1">
      <c r="A127" s="1853" t="s">
        <v>2101</v>
      </c>
      <c r="B127" s="1853" t="s">
        <v>0</v>
      </c>
      <c r="C127" s="1853" t="s">
        <v>2538</v>
      </c>
      <c r="D127" s="1853" t="s">
        <v>2539</v>
      </c>
      <c r="E127" s="1853" t="s">
        <v>2540</v>
      </c>
      <c r="F127" s="1853" t="s">
        <v>2230</v>
      </c>
      <c r="G127" s="1853" t="s">
        <v>1</v>
      </c>
      <c r="H127" s="1853" t="s">
        <v>1</v>
      </c>
      <c r="I127" s="1853" t="s">
        <v>641</v>
      </c>
    </row>
    <row r="128" spans="1:9" ht="11.25" customHeight="1">
      <c r="A128" s="1853" t="s">
        <v>2101</v>
      </c>
      <c r="B128" s="1853" t="s">
        <v>0</v>
      </c>
      <c r="C128" s="1853" t="s">
        <v>2541</v>
      </c>
      <c r="D128" s="1853" t="s">
        <v>2542</v>
      </c>
      <c r="E128" s="1853" t="s">
        <v>2543</v>
      </c>
      <c r="F128" s="1853" t="s">
        <v>2105</v>
      </c>
      <c r="G128" s="1853" t="s">
        <v>2544</v>
      </c>
      <c r="H128" s="1853" t="s">
        <v>1</v>
      </c>
      <c r="I128" s="1853" t="s">
        <v>641</v>
      </c>
    </row>
    <row r="129" spans="1:9" ht="11.25" customHeight="1">
      <c r="A129" s="1853" t="s">
        <v>2101</v>
      </c>
      <c r="B129" s="1853" t="s">
        <v>0</v>
      </c>
      <c r="C129" s="1853" t="s">
        <v>2545</v>
      </c>
      <c r="D129" s="1853" t="s">
        <v>2546</v>
      </c>
      <c r="E129" s="1853" t="s">
        <v>2547</v>
      </c>
      <c r="F129" s="1853" t="s">
        <v>2132</v>
      </c>
      <c r="G129" s="1853" t="s">
        <v>1</v>
      </c>
      <c r="H129" s="1853" t="s">
        <v>1</v>
      </c>
      <c r="I129" s="1853" t="s">
        <v>641</v>
      </c>
    </row>
    <row r="130" spans="1:9" ht="11.25" customHeight="1">
      <c r="A130" s="1853" t="s">
        <v>2101</v>
      </c>
      <c r="B130" s="1853" t="s">
        <v>0</v>
      </c>
      <c r="C130" s="1853" t="s">
        <v>2548</v>
      </c>
      <c r="D130" s="1853" t="s">
        <v>2549</v>
      </c>
      <c r="E130" s="1853" t="s">
        <v>2550</v>
      </c>
      <c r="F130" s="1853" t="s">
        <v>2551</v>
      </c>
      <c r="G130" s="1853" t="s">
        <v>1</v>
      </c>
      <c r="H130" s="1853" t="s">
        <v>1</v>
      </c>
      <c r="I130" s="1853" t="s">
        <v>641</v>
      </c>
    </row>
    <row r="131" spans="1:9" ht="11.25" customHeight="1">
      <c r="A131" s="1853" t="s">
        <v>2101</v>
      </c>
      <c r="B131" s="1853" t="s">
        <v>0</v>
      </c>
      <c r="C131" s="1853" t="s">
        <v>2552</v>
      </c>
      <c r="D131" s="1853" t="s">
        <v>2553</v>
      </c>
      <c r="E131" s="1853" t="s">
        <v>2554</v>
      </c>
      <c r="F131" s="1853" t="s">
        <v>2132</v>
      </c>
      <c r="G131" s="1853" t="s">
        <v>1</v>
      </c>
      <c r="H131" s="1853" t="s">
        <v>1</v>
      </c>
      <c r="I131" s="1853" t="s">
        <v>641</v>
      </c>
    </row>
    <row r="132" spans="1:9" ht="11.25" customHeight="1">
      <c r="A132" s="1853" t="s">
        <v>2101</v>
      </c>
      <c r="B132" s="1853" t="s">
        <v>0</v>
      </c>
      <c r="C132" s="1853" t="s">
        <v>2555</v>
      </c>
      <c r="D132" s="1853" t="s">
        <v>2556</v>
      </c>
      <c r="E132" s="1853" t="s">
        <v>2557</v>
      </c>
      <c r="F132" s="1853" t="s">
        <v>2187</v>
      </c>
      <c r="G132" s="1853" t="s">
        <v>1</v>
      </c>
      <c r="H132" s="1853" t="s">
        <v>1</v>
      </c>
      <c r="I132" s="1853" t="s">
        <v>641</v>
      </c>
    </row>
    <row r="133" spans="1:9" ht="11.25" customHeight="1">
      <c r="A133" s="1853" t="s">
        <v>2101</v>
      </c>
      <c r="B133" s="1853" t="s">
        <v>0</v>
      </c>
      <c r="C133" s="1853" t="s">
        <v>2558</v>
      </c>
      <c r="D133" s="1853" t="s">
        <v>2559</v>
      </c>
      <c r="E133" s="1853" t="s">
        <v>2560</v>
      </c>
      <c r="F133" s="1853" t="s">
        <v>2561</v>
      </c>
      <c r="G133" s="1853" t="s">
        <v>1</v>
      </c>
      <c r="H133" s="1853" t="s">
        <v>1</v>
      </c>
      <c r="I133" s="1853" t="s">
        <v>641</v>
      </c>
    </row>
    <row r="134" spans="1:9" ht="11.25" customHeight="1">
      <c r="A134" s="1853" t="s">
        <v>2101</v>
      </c>
      <c r="B134" s="1853" t="s">
        <v>0</v>
      </c>
      <c r="C134" s="1853" t="s">
        <v>2562</v>
      </c>
      <c r="D134" s="1853" t="s">
        <v>2563</v>
      </c>
      <c r="E134" s="1853" t="s">
        <v>2564</v>
      </c>
      <c r="F134" s="1853" t="s">
        <v>2182</v>
      </c>
      <c r="G134" s="1853" t="s">
        <v>1</v>
      </c>
      <c r="H134" s="1853" t="s">
        <v>1</v>
      </c>
      <c r="I134" s="1853" t="s">
        <v>641</v>
      </c>
    </row>
    <row r="135" spans="1:9" ht="11.25" customHeight="1">
      <c r="A135" s="1853" t="s">
        <v>2101</v>
      </c>
      <c r="B135" s="1853" t="s">
        <v>0</v>
      </c>
      <c r="C135" s="1853" t="s">
        <v>2565</v>
      </c>
      <c r="D135" s="1853" t="s">
        <v>2566</v>
      </c>
      <c r="E135" s="1853" t="s">
        <v>2567</v>
      </c>
      <c r="F135" s="1853" t="s">
        <v>2568</v>
      </c>
      <c r="G135" s="1853" t="s">
        <v>1</v>
      </c>
      <c r="H135" s="1853" t="s">
        <v>1</v>
      </c>
      <c r="I135" s="1853" t="s">
        <v>641</v>
      </c>
    </row>
    <row r="136" spans="1:9" ht="11.25" customHeight="1">
      <c r="A136" s="1853" t="s">
        <v>2101</v>
      </c>
      <c r="B136" s="1853" t="s">
        <v>0</v>
      </c>
      <c r="C136" s="1853" t="s">
        <v>2569</v>
      </c>
      <c r="D136" s="1853" t="s">
        <v>2570</v>
      </c>
      <c r="E136" s="1853" t="s">
        <v>2571</v>
      </c>
      <c r="F136" s="1853" t="s">
        <v>2572</v>
      </c>
      <c r="G136" s="1853" t="s">
        <v>2573</v>
      </c>
      <c r="H136" s="1853" t="s">
        <v>1</v>
      </c>
      <c r="I136" s="1853" t="s">
        <v>641</v>
      </c>
    </row>
    <row r="137" spans="1:9" ht="11.25" customHeight="1">
      <c r="A137" s="1853" t="s">
        <v>2101</v>
      </c>
      <c r="B137" s="1853" t="s">
        <v>0</v>
      </c>
      <c r="C137" s="1853" t="s">
        <v>2574</v>
      </c>
      <c r="D137" s="1853" t="s">
        <v>2575</v>
      </c>
      <c r="E137" s="1853" t="s">
        <v>2576</v>
      </c>
      <c r="F137" s="1853" t="s">
        <v>2149</v>
      </c>
      <c r="G137" s="1853" t="s">
        <v>1</v>
      </c>
      <c r="H137" s="1853" t="s">
        <v>1</v>
      </c>
      <c r="I137" s="1853" t="s">
        <v>641</v>
      </c>
    </row>
    <row r="138" spans="1:9" ht="11.25" customHeight="1">
      <c r="A138" s="1853" t="s">
        <v>2101</v>
      </c>
      <c r="B138" s="1853" t="s">
        <v>0</v>
      </c>
      <c r="C138" s="1853" t="s">
        <v>2577</v>
      </c>
      <c r="D138" s="1853" t="s">
        <v>2578</v>
      </c>
      <c r="E138" s="1853" t="s">
        <v>2579</v>
      </c>
      <c r="F138" s="1853" t="s">
        <v>2551</v>
      </c>
      <c r="G138" s="1853" t="s">
        <v>1</v>
      </c>
      <c r="H138" s="1853" t="s">
        <v>1</v>
      </c>
      <c r="I138" s="1853" t="s">
        <v>641</v>
      </c>
    </row>
    <row r="139" spans="1:9" ht="11.25" customHeight="1">
      <c r="A139" s="1853" t="s">
        <v>2101</v>
      </c>
      <c r="B139" s="1853" t="s">
        <v>0</v>
      </c>
      <c r="C139" s="1853" t="s">
        <v>2580</v>
      </c>
      <c r="D139" s="1853" t="s">
        <v>2581</v>
      </c>
      <c r="E139" s="1853" t="s">
        <v>2582</v>
      </c>
      <c r="F139" s="1853" t="s">
        <v>2178</v>
      </c>
      <c r="G139" s="1853" t="s">
        <v>1</v>
      </c>
      <c r="H139" s="1853" t="s">
        <v>1</v>
      </c>
      <c r="I139" s="1853" t="s">
        <v>641</v>
      </c>
    </row>
    <row r="140" spans="1:9" ht="11.25" customHeight="1">
      <c r="A140" s="1853" t="s">
        <v>2101</v>
      </c>
      <c r="B140" s="1853" t="s">
        <v>0</v>
      </c>
      <c r="C140" s="1853" t="s">
        <v>2583</v>
      </c>
      <c r="D140" s="1853" t="s">
        <v>2584</v>
      </c>
      <c r="E140" s="1853" t="s">
        <v>2585</v>
      </c>
      <c r="F140" s="1853" t="s">
        <v>2222</v>
      </c>
      <c r="G140" s="1853" t="s">
        <v>1</v>
      </c>
      <c r="H140" s="1853" t="s">
        <v>1</v>
      </c>
      <c r="I140" s="1853" t="s">
        <v>641</v>
      </c>
    </row>
    <row r="141" spans="1:9" ht="11.25" customHeight="1">
      <c r="A141" s="1853" t="s">
        <v>2101</v>
      </c>
      <c r="B141" s="1853" t="s">
        <v>0</v>
      </c>
      <c r="C141" s="1853" t="s">
        <v>2586</v>
      </c>
      <c r="D141" s="1853" t="s">
        <v>2587</v>
      </c>
      <c r="E141" s="1853" t="s">
        <v>2588</v>
      </c>
      <c r="F141" s="1853" t="s">
        <v>2589</v>
      </c>
      <c r="G141" s="1853" t="s">
        <v>1</v>
      </c>
      <c r="H141" s="1853" t="s">
        <v>1</v>
      </c>
      <c r="I141" s="1853" t="s">
        <v>641</v>
      </c>
    </row>
    <row r="142" spans="1:9" ht="11.25" customHeight="1">
      <c r="A142" s="1853" t="s">
        <v>2101</v>
      </c>
      <c r="B142" s="1853" t="s">
        <v>0</v>
      </c>
      <c r="C142" s="1853" t="s">
        <v>2590</v>
      </c>
      <c r="D142" s="1853" t="s">
        <v>2591</v>
      </c>
      <c r="E142" s="1853" t="s">
        <v>2592</v>
      </c>
      <c r="F142" s="1853" t="s">
        <v>2149</v>
      </c>
      <c r="G142" s="1853" t="s">
        <v>1</v>
      </c>
      <c r="H142" s="1853" t="s">
        <v>1</v>
      </c>
      <c r="I142" s="1853" t="s">
        <v>641</v>
      </c>
    </row>
    <row r="143" spans="1:9" ht="11.25" customHeight="1">
      <c r="A143" s="1853" t="s">
        <v>2101</v>
      </c>
      <c r="B143" s="1853" t="s">
        <v>0</v>
      </c>
      <c r="C143" s="1853" t="s">
        <v>2593</v>
      </c>
      <c r="D143" s="1853" t="s">
        <v>2594</v>
      </c>
      <c r="E143" s="1853" t="s">
        <v>2595</v>
      </c>
      <c r="F143" s="1853" t="s">
        <v>12</v>
      </c>
      <c r="G143" s="1853" t="s">
        <v>2596</v>
      </c>
      <c r="H143" s="1853" t="s">
        <v>1</v>
      </c>
      <c r="I143" s="1853" t="s">
        <v>641</v>
      </c>
    </row>
    <row r="144" spans="1:9" ht="11.25" customHeight="1">
      <c r="A144" s="1853" t="s">
        <v>2101</v>
      </c>
      <c r="B144" s="1853" t="s">
        <v>0</v>
      </c>
      <c r="C144" s="1853" t="s">
        <v>2597</v>
      </c>
      <c r="D144" s="1853" t="s">
        <v>2598</v>
      </c>
      <c r="E144" s="1853" t="s">
        <v>2599</v>
      </c>
      <c r="F144" s="1853" t="s">
        <v>2600</v>
      </c>
      <c r="G144" s="1853" t="s">
        <v>2601</v>
      </c>
      <c r="H144" s="1853" t="s">
        <v>1</v>
      </c>
      <c r="I144" s="1853" t="s">
        <v>641</v>
      </c>
    </row>
    <row r="145" spans="1:9" ht="11.25" customHeight="1">
      <c r="A145" s="1853" t="s">
        <v>2101</v>
      </c>
      <c r="B145" s="1853" t="s">
        <v>0</v>
      </c>
      <c r="C145" s="1853" t="s">
        <v>2602</v>
      </c>
      <c r="D145" s="1853" t="s">
        <v>2603</v>
      </c>
      <c r="E145" s="1853" t="s">
        <v>2604</v>
      </c>
      <c r="F145" s="1853" t="s">
        <v>2605</v>
      </c>
      <c r="G145" s="1853" t="s">
        <v>1</v>
      </c>
      <c r="H145" s="1853" t="s">
        <v>1</v>
      </c>
      <c r="I145" s="1853" t="s">
        <v>641</v>
      </c>
    </row>
    <row r="146" spans="1:9" ht="11.25" customHeight="1">
      <c r="A146" s="1853" t="s">
        <v>2101</v>
      </c>
      <c r="B146" s="1853" t="s">
        <v>0</v>
      </c>
      <c r="C146" s="1853" t="s">
        <v>2606</v>
      </c>
      <c r="D146" s="1853" t="s">
        <v>2607</v>
      </c>
      <c r="E146" s="1853" t="s">
        <v>2608</v>
      </c>
      <c r="F146" s="1853" t="s">
        <v>2149</v>
      </c>
      <c r="G146" s="1853" t="s">
        <v>2609</v>
      </c>
      <c r="H146" s="1853" t="s">
        <v>1</v>
      </c>
      <c r="I146" s="1853" t="s">
        <v>641</v>
      </c>
    </row>
    <row r="147" spans="1:9" ht="11.25" customHeight="1">
      <c r="A147" s="1853" t="s">
        <v>2101</v>
      </c>
      <c r="B147" s="1853" t="s">
        <v>0</v>
      </c>
      <c r="C147" s="1853" t="s">
        <v>2610</v>
      </c>
      <c r="D147" s="1853" t="s">
        <v>2611</v>
      </c>
      <c r="E147" s="1853" t="s">
        <v>2612</v>
      </c>
      <c r="F147" s="1853" t="s">
        <v>2613</v>
      </c>
      <c r="G147" s="1853" t="s">
        <v>1</v>
      </c>
      <c r="H147" s="1853" t="s">
        <v>1</v>
      </c>
      <c r="I147" s="1853" t="s">
        <v>641</v>
      </c>
    </row>
    <row r="148" spans="1:9" ht="11.25" customHeight="1">
      <c r="A148" s="1853" t="s">
        <v>2101</v>
      </c>
      <c r="B148" s="1853" t="s">
        <v>0</v>
      </c>
      <c r="C148" s="1853" t="s">
        <v>2614</v>
      </c>
      <c r="D148" s="1853" t="s">
        <v>2615</v>
      </c>
      <c r="E148" s="1853" t="s">
        <v>2616</v>
      </c>
      <c r="F148" s="1853" t="s">
        <v>2329</v>
      </c>
      <c r="G148" s="1853" t="s">
        <v>1</v>
      </c>
      <c r="H148" s="1853" t="s">
        <v>1</v>
      </c>
      <c r="I148" s="1853" t="s">
        <v>641</v>
      </c>
    </row>
    <row r="149" spans="1:9" ht="11.25" customHeight="1">
      <c r="A149" s="1853" t="s">
        <v>2101</v>
      </c>
      <c r="B149" s="1853" t="s">
        <v>0</v>
      </c>
      <c r="C149" s="1853" t="s">
        <v>2617</v>
      </c>
      <c r="D149" s="1853" t="s">
        <v>2618</v>
      </c>
      <c r="E149" s="1853" t="s">
        <v>2619</v>
      </c>
      <c r="F149" s="1853" t="s">
        <v>2222</v>
      </c>
      <c r="G149" s="1853" t="s">
        <v>2620</v>
      </c>
      <c r="H149" s="1853" t="s">
        <v>1</v>
      </c>
      <c r="I149" s="1853" t="s">
        <v>641</v>
      </c>
    </row>
    <row r="150" spans="1:9" ht="11.25" customHeight="1">
      <c r="A150" s="1853" t="s">
        <v>2101</v>
      </c>
      <c r="B150" s="1853" t="s">
        <v>0</v>
      </c>
      <c r="C150" s="1853" t="s">
        <v>2621</v>
      </c>
      <c r="D150" s="1853" t="s">
        <v>2622</v>
      </c>
      <c r="E150" s="1853" t="s">
        <v>2623</v>
      </c>
      <c r="F150" s="1853" t="s">
        <v>493</v>
      </c>
      <c r="G150" s="1853" t="s">
        <v>1</v>
      </c>
      <c r="H150" s="1853" t="s">
        <v>1</v>
      </c>
      <c r="I150" s="1853" t="s">
        <v>641</v>
      </c>
    </row>
    <row r="151" spans="1:9" ht="11.25" customHeight="1">
      <c r="A151" s="1853" t="s">
        <v>2101</v>
      </c>
      <c r="B151" s="1853" t="s">
        <v>0</v>
      </c>
      <c r="C151" s="1853" t="s">
        <v>2624</v>
      </c>
      <c r="D151" s="1853" t="s">
        <v>2625</v>
      </c>
      <c r="E151" s="1853" t="s">
        <v>2626</v>
      </c>
      <c r="F151" s="1853" t="s">
        <v>493</v>
      </c>
      <c r="G151" s="1853" t="s">
        <v>1</v>
      </c>
      <c r="H151" s="1853" t="s">
        <v>1</v>
      </c>
      <c r="I151" s="1853" t="s">
        <v>641</v>
      </c>
    </row>
    <row r="152" spans="1:9" ht="11.25" customHeight="1">
      <c r="A152" s="1853" t="s">
        <v>2101</v>
      </c>
      <c r="B152" s="1853" t="s">
        <v>0</v>
      </c>
      <c r="C152" s="1853" t="s">
        <v>2627</v>
      </c>
      <c r="D152" s="1853" t="s">
        <v>2628</v>
      </c>
      <c r="E152" s="1853" t="s">
        <v>2629</v>
      </c>
      <c r="F152" s="1853" t="s">
        <v>493</v>
      </c>
      <c r="G152" s="1853" t="s">
        <v>1</v>
      </c>
      <c r="H152" s="1853" t="s">
        <v>1</v>
      </c>
      <c r="I152" s="1853" t="s">
        <v>641</v>
      </c>
    </row>
    <row r="153" spans="1:9" ht="11.25" customHeight="1">
      <c r="A153" s="1853" t="s">
        <v>2101</v>
      </c>
      <c r="B153" s="1853" t="s">
        <v>0</v>
      </c>
      <c r="C153" s="1853" t="s">
        <v>2630</v>
      </c>
      <c r="D153" s="1853" t="s">
        <v>2631</v>
      </c>
      <c r="E153" s="1853" t="s">
        <v>2632</v>
      </c>
      <c r="F153" s="1853" t="s">
        <v>493</v>
      </c>
      <c r="G153" s="1853" t="s">
        <v>1</v>
      </c>
      <c r="H153" s="1853" t="s">
        <v>1</v>
      </c>
      <c r="I153" s="1853" t="s">
        <v>641</v>
      </c>
    </row>
    <row r="154" spans="1:9" ht="11.25" customHeight="1">
      <c r="A154" s="1853" t="s">
        <v>2101</v>
      </c>
      <c r="B154" s="1853" t="s">
        <v>0</v>
      </c>
      <c r="C154" s="1853" t="s">
        <v>2633</v>
      </c>
      <c r="D154" s="1853" t="s">
        <v>2634</v>
      </c>
      <c r="E154" s="1853" t="s">
        <v>2635</v>
      </c>
      <c r="F154" s="1853" t="s">
        <v>493</v>
      </c>
      <c r="G154" s="1853" t="s">
        <v>1</v>
      </c>
      <c r="H154" s="1853" t="s">
        <v>1</v>
      </c>
      <c r="I154" s="1853" t="s">
        <v>641</v>
      </c>
    </row>
    <row r="155" spans="1:9" ht="11.25" customHeight="1">
      <c r="A155" s="1853" t="s">
        <v>2101</v>
      </c>
      <c r="B155" s="1853" t="s">
        <v>0</v>
      </c>
      <c r="C155" s="1853" t="s">
        <v>2636</v>
      </c>
      <c r="D155" s="1853" t="s">
        <v>2637</v>
      </c>
      <c r="E155" s="1853" t="s">
        <v>2638</v>
      </c>
      <c r="F155" s="1853" t="s">
        <v>493</v>
      </c>
      <c r="G155" s="1853" t="s">
        <v>1</v>
      </c>
      <c r="H155" s="1853" t="s">
        <v>1</v>
      </c>
      <c r="I155" s="1853" t="s">
        <v>641</v>
      </c>
    </row>
    <row r="156" spans="1:9" ht="11.25" customHeight="1">
      <c r="A156" s="1853" t="s">
        <v>2101</v>
      </c>
      <c r="B156" s="1853" t="s">
        <v>0</v>
      </c>
      <c r="C156" s="1853" t="s">
        <v>2639</v>
      </c>
      <c r="D156" s="1853" t="s">
        <v>2640</v>
      </c>
      <c r="E156" s="1853" t="s">
        <v>2641</v>
      </c>
      <c r="F156" s="1853" t="s">
        <v>493</v>
      </c>
      <c r="G156" s="1853" t="s">
        <v>1</v>
      </c>
      <c r="H156" s="1853" t="s">
        <v>1</v>
      </c>
      <c r="I156" s="1853" t="s">
        <v>641</v>
      </c>
    </row>
    <row r="157" spans="1:9" ht="11.25" customHeight="1">
      <c r="A157" s="1853" t="s">
        <v>2101</v>
      </c>
      <c r="B157" s="1853" t="s">
        <v>0</v>
      </c>
      <c r="C157" s="1853" t="s">
        <v>2642</v>
      </c>
      <c r="D157" s="1853" t="s">
        <v>2643</v>
      </c>
      <c r="E157" s="1853" t="s">
        <v>2644</v>
      </c>
      <c r="F157" s="1853" t="s">
        <v>493</v>
      </c>
      <c r="G157" s="1853" t="s">
        <v>1</v>
      </c>
      <c r="H157" s="1853" t="s">
        <v>1</v>
      </c>
      <c r="I157" s="1853" t="s">
        <v>641</v>
      </c>
    </row>
    <row r="158" spans="1:9" ht="11.25" customHeight="1">
      <c r="A158" s="1853" t="s">
        <v>2101</v>
      </c>
      <c r="B158" s="1853" t="s">
        <v>0</v>
      </c>
      <c r="C158" s="1853" t="s">
        <v>2645</v>
      </c>
      <c r="D158" s="1853" t="s">
        <v>2646</v>
      </c>
      <c r="E158" s="1853" t="s">
        <v>2647</v>
      </c>
      <c r="F158" s="1853" t="s">
        <v>493</v>
      </c>
      <c r="G158" s="1853" t="s">
        <v>1</v>
      </c>
      <c r="H158" s="1853" t="s">
        <v>1</v>
      </c>
      <c r="I158" s="1853" t="s">
        <v>641</v>
      </c>
    </row>
    <row r="159" spans="1:9" ht="11.25" customHeight="1">
      <c r="A159" s="1853" t="s">
        <v>2101</v>
      </c>
      <c r="B159" s="1853" t="s">
        <v>0</v>
      </c>
      <c r="C159" s="1853" t="s">
        <v>2648</v>
      </c>
      <c r="D159" s="1853" t="s">
        <v>2649</v>
      </c>
      <c r="E159" s="1853" t="s">
        <v>2650</v>
      </c>
      <c r="F159" s="1853" t="s">
        <v>493</v>
      </c>
      <c r="G159" s="1853" t="s">
        <v>2651</v>
      </c>
      <c r="H159" s="1853" t="s">
        <v>1</v>
      </c>
      <c r="I159" s="1853" t="s">
        <v>641</v>
      </c>
    </row>
    <row r="160" spans="1:9" ht="11.25" customHeight="1">
      <c r="A160" s="1853" t="s">
        <v>2101</v>
      </c>
      <c r="B160" s="1853" t="s">
        <v>0</v>
      </c>
      <c r="C160" s="1853" t="s">
        <v>2652</v>
      </c>
      <c r="D160" s="1853" t="s">
        <v>2653</v>
      </c>
      <c r="E160" s="1853" t="s">
        <v>2654</v>
      </c>
      <c r="F160" s="1853" t="s">
        <v>493</v>
      </c>
      <c r="G160" s="1853" t="s">
        <v>2655</v>
      </c>
      <c r="H160" s="1853" t="s">
        <v>1</v>
      </c>
      <c r="I160" s="1853" t="s">
        <v>641</v>
      </c>
    </row>
    <row r="161" spans="1:9" ht="11.25" customHeight="1">
      <c r="A161" s="1853" t="s">
        <v>2101</v>
      </c>
      <c r="B161" s="1853" t="s">
        <v>0</v>
      </c>
      <c r="C161" s="1853" t="s">
        <v>2656</v>
      </c>
      <c r="D161" s="1853" t="s">
        <v>2657</v>
      </c>
      <c r="E161" s="1853" t="s">
        <v>2658</v>
      </c>
      <c r="F161" s="1853" t="s">
        <v>493</v>
      </c>
      <c r="G161" s="1853" t="s">
        <v>1</v>
      </c>
      <c r="H161" s="1853" t="s">
        <v>1</v>
      </c>
      <c r="I161" s="1853" t="s">
        <v>641</v>
      </c>
    </row>
    <row r="162" spans="1:9" ht="11.25" customHeight="1">
      <c r="A162" s="1853" t="s">
        <v>2101</v>
      </c>
      <c r="B162" s="1853" t="s">
        <v>0</v>
      </c>
      <c r="C162" s="1853" t="s">
        <v>2659</v>
      </c>
      <c r="D162" s="1853" t="s">
        <v>2660</v>
      </c>
      <c r="E162" s="1853" t="s">
        <v>2661</v>
      </c>
      <c r="F162" s="1853" t="s">
        <v>493</v>
      </c>
      <c r="G162" s="1853" t="s">
        <v>1</v>
      </c>
      <c r="H162" s="1853" t="s">
        <v>1</v>
      </c>
      <c r="I162" s="1853" t="s">
        <v>641</v>
      </c>
    </row>
    <row r="163" spans="1:9" ht="11.25" customHeight="1">
      <c r="A163" s="1853" t="s">
        <v>2101</v>
      </c>
      <c r="B163" s="1853" t="s">
        <v>0</v>
      </c>
      <c r="C163" s="1853" t="s">
        <v>2662</v>
      </c>
      <c r="D163" s="1853" t="s">
        <v>2663</v>
      </c>
      <c r="E163" s="1853" t="s">
        <v>2664</v>
      </c>
      <c r="F163" s="1853" t="s">
        <v>493</v>
      </c>
      <c r="G163" s="1853" t="s">
        <v>1</v>
      </c>
      <c r="H163" s="1853" t="s">
        <v>1</v>
      </c>
      <c r="I163" s="1853" t="s">
        <v>641</v>
      </c>
    </row>
    <row r="164" spans="1:9" ht="11.25" customHeight="1">
      <c r="A164" s="1853" t="s">
        <v>2101</v>
      </c>
      <c r="B164" s="1853" t="s">
        <v>0</v>
      </c>
      <c r="C164" s="1853" t="s">
        <v>2665</v>
      </c>
      <c r="D164" s="1853" t="s">
        <v>2666</v>
      </c>
      <c r="E164" s="1853" t="s">
        <v>2667</v>
      </c>
      <c r="F164" s="1853" t="s">
        <v>493</v>
      </c>
      <c r="G164" s="1853" t="s">
        <v>2668</v>
      </c>
      <c r="H164" s="1853" t="s">
        <v>2669</v>
      </c>
      <c r="I164" s="1853" t="s">
        <v>641</v>
      </c>
    </row>
    <row r="165" spans="1:9" ht="11.25" customHeight="1">
      <c r="A165" s="1853" t="s">
        <v>2101</v>
      </c>
      <c r="B165" s="1853" t="s">
        <v>0</v>
      </c>
      <c r="C165" s="1853" t="s">
        <v>2670</v>
      </c>
      <c r="D165" s="1853" t="s">
        <v>2671</v>
      </c>
      <c r="E165" s="1853" t="s">
        <v>2672</v>
      </c>
      <c r="F165" s="1853" t="s">
        <v>493</v>
      </c>
      <c r="G165" s="1853" t="s">
        <v>1</v>
      </c>
      <c r="H165" s="1853" t="s">
        <v>1</v>
      </c>
      <c r="I165" s="1853" t="s">
        <v>641</v>
      </c>
    </row>
    <row r="166" spans="1:9" ht="11.25" customHeight="1">
      <c r="A166" s="1853" t="s">
        <v>2101</v>
      </c>
      <c r="B166" s="1853" t="s">
        <v>0</v>
      </c>
      <c r="C166" s="1853" t="s">
        <v>2673</v>
      </c>
      <c r="D166" s="1853" t="s">
        <v>2674</v>
      </c>
      <c r="E166" s="1853" t="s">
        <v>2675</v>
      </c>
      <c r="F166" s="1853" t="s">
        <v>2676</v>
      </c>
      <c r="G166" s="1853" t="s">
        <v>1</v>
      </c>
      <c r="H166" s="1853" t="s">
        <v>1</v>
      </c>
      <c r="I166" s="1853" t="s">
        <v>641</v>
      </c>
    </row>
    <row r="167" spans="1:9" ht="11.25" customHeight="1">
      <c r="A167" s="1853" t="s">
        <v>2101</v>
      </c>
      <c r="B167" s="1853" t="s">
        <v>0</v>
      </c>
      <c r="C167" s="1853" t="s">
        <v>2677</v>
      </c>
      <c r="D167" s="1853" t="s">
        <v>2678</v>
      </c>
      <c r="E167" s="1853" t="s">
        <v>2679</v>
      </c>
      <c r="F167" s="1853" t="s">
        <v>2239</v>
      </c>
      <c r="G167" s="1853" t="s">
        <v>1</v>
      </c>
      <c r="H167" s="1853" t="s">
        <v>1</v>
      </c>
      <c r="I167" s="1853" t="s">
        <v>641</v>
      </c>
    </row>
    <row r="168" spans="1:9" ht="11.25" customHeight="1">
      <c r="A168" s="1853" t="s">
        <v>2101</v>
      </c>
      <c r="B168" s="1853" t="s">
        <v>0</v>
      </c>
      <c r="C168" s="1853" t="s">
        <v>2680</v>
      </c>
      <c r="D168" s="1853" t="s">
        <v>2681</v>
      </c>
      <c r="E168" s="1853" t="s">
        <v>2682</v>
      </c>
      <c r="F168" s="1853" t="s">
        <v>2683</v>
      </c>
      <c r="G168" s="1853" t="s">
        <v>1</v>
      </c>
      <c r="H168" s="1853" t="s">
        <v>1</v>
      </c>
      <c r="I168" s="1853" t="s">
        <v>641</v>
      </c>
    </row>
    <row r="169" spans="1:9" ht="11.25" customHeight="1">
      <c r="A169" s="1853" t="s">
        <v>2101</v>
      </c>
      <c r="B169" s="1853" t="s">
        <v>0</v>
      </c>
      <c r="C169" s="1853" t="s">
        <v>2684</v>
      </c>
      <c r="D169" s="1853" t="s">
        <v>2685</v>
      </c>
      <c r="E169" s="1853" t="s">
        <v>2686</v>
      </c>
      <c r="F169" s="1853" t="s">
        <v>2528</v>
      </c>
      <c r="G169" s="1853" t="s">
        <v>1</v>
      </c>
      <c r="H169" s="1853" t="s">
        <v>1</v>
      </c>
      <c r="I169" s="1853" t="s">
        <v>641</v>
      </c>
    </row>
    <row r="170" spans="1:9" ht="11.25" customHeight="1">
      <c r="A170" s="1853" t="s">
        <v>2101</v>
      </c>
      <c r="B170" s="1853" t="s">
        <v>0</v>
      </c>
      <c r="C170" s="1853" t="s">
        <v>2687</v>
      </c>
      <c r="D170" s="1853" t="s">
        <v>2688</v>
      </c>
      <c r="E170" s="1853" t="s">
        <v>2689</v>
      </c>
      <c r="F170" s="1853" t="s">
        <v>2424</v>
      </c>
      <c r="G170" s="1853" t="s">
        <v>1</v>
      </c>
      <c r="H170" s="1853" t="s">
        <v>1</v>
      </c>
      <c r="I170" s="1853" t="s">
        <v>641</v>
      </c>
    </row>
    <row r="171" spans="1:9" ht="11.25" customHeight="1">
      <c r="A171" s="1853" t="s">
        <v>2101</v>
      </c>
      <c r="B171" s="1853" t="s">
        <v>0</v>
      </c>
      <c r="C171" s="1853" t="s">
        <v>2690</v>
      </c>
      <c r="D171" s="1853" t="s">
        <v>2691</v>
      </c>
      <c r="E171" s="1853" t="s">
        <v>2692</v>
      </c>
      <c r="F171" s="1853" t="s">
        <v>2141</v>
      </c>
      <c r="G171" s="1853" t="s">
        <v>1</v>
      </c>
      <c r="H171" s="1853" t="s">
        <v>1</v>
      </c>
      <c r="I171" s="1853" t="s">
        <v>641</v>
      </c>
    </row>
    <row r="172" spans="1:9" ht="11.25" customHeight="1">
      <c r="A172" s="1853" t="s">
        <v>2101</v>
      </c>
      <c r="B172" s="1853" t="s">
        <v>0</v>
      </c>
      <c r="C172" s="1853" t="s">
        <v>2693</v>
      </c>
      <c r="D172" s="1853" t="s">
        <v>2694</v>
      </c>
      <c r="E172" s="1853" t="s">
        <v>2695</v>
      </c>
      <c r="F172" s="1853" t="s">
        <v>2196</v>
      </c>
      <c r="G172" s="1853" t="s">
        <v>1</v>
      </c>
      <c r="H172" s="1853" t="s">
        <v>1</v>
      </c>
      <c r="I172" s="1853" t="s">
        <v>641</v>
      </c>
    </row>
    <row r="173" spans="1:9" ht="11.25" customHeight="1">
      <c r="A173" s="1853" t="s">
        <v>2101</v>
      </c>
      <c r="B173" s="1853" t="s">
        <v>0</v>
      </c>
      <c r="C173" s="1853" t="s">
        <v>2696</v>
      </c>
      <c r="D173" s="1853" t="s">
        <v>2697</v>
      </c>
      <c r="E173" s="1853" t="s">
        <v>2698</v>
      </c>
      <c r="F173" s="1853" t="s">
        <v>2424</v>
      </c>
      <c r="G173" s="1853" t="s">
        <v>1</v>
      </c>
      <c r="H173" s="1853" t="s">
        <v>1</v>
      </c>
      <c r="I173" s="1853" t="s">
        <v>641</v>
      </c>
    </row>
    <row r="174" spans="1:9" ht="11.25" customHeight="1">
      <c r="A174" s="1853" t="s">
        <v>2101</v>
      </c>
      <c r="B174" s="1853" t="s">
        <v>0</v>
      </c>
      <c r="C174" s="1853" t="s">
        <v>2699</v>
      </c>
      <c r="D174" s="1853" t="s">
        <v>2700</v>
      </c>
      <c r="E174" s="1853" t="s">
        <v>2701</v>
      </c>
      <c r="F174" s="1853" t="s">
        <v>2141</v>
      </c>
      <c r="G174" s="1853" t="s">
        <v>1</v>
      </c>
      <c r="H174" s="1853" t="s">
        <v>1</v>
      </c>
      <c r="I174" s="1853" t="s">
        <v>641</v>
      </c>
    </row>
    <row r="175" spans="1:9" ht="11.25" customHeight="1">
      <c r="A175" s="1853" t="s">
        <v>2101</v>
      </c>
      <c r="B175" s="1853" t="s">
        <v>0</v>
      </c>
      <c r="C175" s="1853" t="s">
        <v>2702</v>
      </c>
      <c r="D175" s="1853" t="s">
        <v>2703</v>
      </c>
      <c r="E175" s="1853" t="s">
        <v>2704</v>
      </c>
      <c r="F175" s="1853" t="s">
        <v>2141</v>
      </c>
      <c r="G175" s="1853" t="s">
        <v>1</v>
      </c>
      <c r="H175" s="1853" t="s">
        <v>1</v>
      </c>
      <c r="I175" s="1853" t="s">
        <v>641</v>
      </c>
    </row>
    <row r="176" spans="1:9" ht="11.25" customHeight="1">
      <c r="A176" s="1853" t="s">
        <v>2101</v>
      </c>
      <c r="B176" s="1853" t="s">
        <v>0</v>
      </c>
      <c r="C176" s="1853" t="s">
        <v>2705</v>
      </c>
      <c r="D176" s="1853" t="s">
        <v>2706</v>
      </c>
      <c r="E176" s="1853" t="s">
        <v>2707</v>
      </c>
      <c r="F176" s="1853" t="s">
        <v>2708</v>
      </c>
      <c r="G176" s="1853" t="s">
        <v>1</v>
      </c>
      <c r="H176" s="1853" t="s">
        <v>1</v>
      </c>
      <c r="I176" s="1853" t="s">
        <v>641</v>
      </c>
    </row>
    <row r="177" spans="1:9" ht="11.25" customHeight="1">
      <c r="A177" s="1853" t="s">
        <v>2101</v>
      </c>
      <c r="B177" s="1853" t="s">
        <v>0</v>
      </c>
      <c r="C177" s="1853" t="s">
        <v>2709</v>
      </c>
      <c r="D177" s="1853" t="s">
        <v>2710</v>
      </c>
      <c r="E177" s="1853" t="s">
        <v>2711</v>
      </c>
      <c r="F177" s="1853" t="s">
        <v>2191</v>
      </c>
      <c r="G177" s="1853" t="s">
        <v>1</v>
      </c>
      <c r="H177" s="1853" t="s">
        <v>1</v>
      </c>
      <c r="I177" s="1853" t="s">
        <v>641</v>
      </c>
    </row>
    <row r="178" spans="1:9" ht="11.25" customHeight="1">
      <c r="A178" s="1853" t="s">
        <v>2101</v>
      </c>
      <c r="B178" s="1853" t="s">
        <v>0</v>
      </c>
      <c r="C178" s="1853" t="s">
        <v>2712</v>
      </c>
      <c r="D178" s="1853" t="s">
        <v>2713</v>
      </c>
      <c r="E178" s="1853" t="s">
        <v>2714</v>
      </c>
      <c r="F178" s="1853" t="s">
        <v>2424</v>
      </c>
      <c r="G178" s="1853" t="s">
        <v>1</v>
      </c>
      <c r="H178" s="1853" t="s">
        <v>1</v>
      </c>
      <c r="I178" s="1853" t="s">
        <v>641</v>
      </c>
    </row>
    <row r="179" spans="1:9" ht="11.25" customHeight="1">
      <c r="A179" s="1853" t="s">
        <v>2101</v>
      </c>
      <c r="B179" s="1853" t="s">
        <v>0</v>
      </c>
      <c r="C179" s="1853" t="s">
        <v>2715</v>
      </c>
      <c r="D179" s="1853" t="s">
        <v>2716</v>
      </c>
      <c r="E179" s="1853" t="s">
        <v>2717</v>
      </c>
      <c r="F179" s="1853" t="s">
        <v>2708</v>
      </c>
      <c r="G179" s="1853" t="s">
        <v>1</v>
      </c>
      <c r="H179" s="1853" t="s">
        <v>1</v>
      </c>
      <c r="I179" s="1853" t="s">
        <v>641</v>
      </c>
    </row>
    <row r="180" spans="1:9" ht="11.25" customHeight="1">
      <c r="A180" s="1853" t="s">
        <v>2101</v>
      </c>
      <c r="B180" s="1853" t="s">
        <v>0</v>
      </c>
      <c r="C180" s="1853" t="s">
        <v>2718</v>
      </c>
      <c r="D180" s="1853" t="s">
        <v>2719</v>
      </c>
      <c r="E180" s="1853" t="s">
        <v>2720</v>
      </c>
      <c r="F180" s="1853" t="s">
        <v>2196</v>
      </c>
      <c r="G180" s="1853" t="s">
        <v>1</v>
      </c>
      <c r="H180" s="1853" t="s">
        <v>1</v>
      </c>
      <c r="I180" s="1853" t="s">
        <v>641</v>
      </c>
    </row>
    <row r="181" spans="1:9" ht="11.25" customHeight="1">
      <c r="A181" s="1853" t="s">
        <v>2101</v>
      </c>
      <c r="B181" s="1853" t="s">
        <v>0</v>
      </c>
      <c r="C181" s="1853" t="s">
        <v>2721</v>
      </c>
      <c r="D181" s="1853" t="s">
        <v>2722</v>
      </c>
      <c r="E181" s="1853" t="s">
        <v>2723</v>
      </c>
      <c r="F181" s="1853" t="s">
        <v>2572</v>
      </c>
      <c r="G181" s="1853" t="s">
        <v>2724</v>
      </c>
      <c r="H181" s="1853" t="s">
        <v>1</v>
      </c>
      <c r="I181" s="1853" t="s">
        <v>641</v>
      </c>
    </row>
    <row r="182" spans="1:9" ht="11.25" customHeight="1">
      <c r="A182" s="1853" t="s">
        <v>2101</v>
      </c>
      <c r="B182" s="1853" t="s">
        <v>0</v>
      </c>
      <c r="C182" s="1853" t="s">
        <v>2725</v>
      </c>
      <c r="D182" s="1853" t="s">
        <v>2726</v>
      </c>
      <c r="E182" s="1853" t="s">
        <v>2727</v>
      </c>
      <c r="F182" s="1853" t="s">
        <v>2187</v>
      </c>
      <c r="G182" s="1853" t="s">
        <v>1</v>
      </c>
      <c r="H182" s="1853" t="s">
        <v>1</v>
      </c>
      <c r="I182" s="1853" t="s">
        <v>641</v>
      </c>
    </row>
    <row r="183" spans="1:9" ht="11.25" customHeight="1">
      <c r="A183" s="1853" t="s">
        <v>2101</v>
      </c>
      <c r="B183" s="1853" t="s">
        <v>0</v>
      </c>
      <c r="C183" s="1853" t="s">
        <v>2728</v>
      </c>
      <c r="D183" s="1853" t="s">
        <v>2729</v>
      </c>
      <c r="E183" s="1853" t="s">
        <v>2730</v>
      </c>
      <c r="F183" s="1853" t="s">
        <v>2416</v>
      </c>
      <c r="G183" s="1853" t="s">
        <v>1</v>
      </c>
      <c r="H183" s="1853" t="s">
        <v>1</v>
      </c>
      <c r="I183" s="1853" t="s">
        <v>641</v>
      </c>
    </row>
    <row r="184" spans="1:9" ht="11.25" customHeight="1">
      <c r="A184" s="1853" t="s">
        <v>2101</v>
      </c>
      <c r="B184" s="1853" t="s">
        <v>0</v>
      </c>
      <c r="C184" s="1853" t="s">
        <v>2731</v>
      </c>
      <c r="D184" s="1853" t="s">
        <v>2732</v>
      </c>
      <c r="E184" s="1853" t="s">
        <v>2733</v>
      </c>
      <c r="F184" s="1853" t="s">
        <v>2132</v>
      </c>
      <c r="G184" s="1853" t="s">
        <v>1</v>
      </c>
      <c r="H184" s="1853" t="s">
        <v>1</v>
      </c>
      <c r="I184" s="1853" t="s">
        <v>641</v>
      </c>
    </row>
    <row r="185" spans="1:9" ht="11.25" customHeight="1">
      <c r="A185" s="1853" t="s">
        <v>2101</v>
      </c>
      <c r="B185" s="1853" t="s">
        <v>0</v>
      </c>
      <c r="C185" s="1853" t="s">
        <v>2734</v>
      </c>
      <c r="D185" s="1853" t="s">
        <v>2735</v>
      </c>
      <c r="E185" s="1853" t="s">
        <v>2736</v>
      </c>
      <c r="F185" s="1853" t="s">
        <v>2737</v>
      </c>
      <c r="G185" s="1853" t="s">
        <v>1</v>
      </c>
      <c r="H185" s="1853" t="s">
        <v>1</v>
      </c>
      <c r="I185" s="1853" t="s">
        <v>641</v>
      </c>
    </row>
    <row r="186" spans="1:9" ht="11.25" customHeight="1">
      <c r="A186" s="1853" t="s">
        <v>2101</v>
      </c>
      <c r="B186" s="1853" t="s">
        <v>0</v>
      </c>
      <c r="C186" s="1853" t="s">
        <v>2738</v>
      </c>
      <c r="D186" s="1853" t="s">
        <v>2739</v>
      </c>
      <c r="E186" s="1853" t="s">
        <v>2740</v>
      </c>
      <c r="F186" s="1853" t="s">
        <v>2741</v>
      </c>
      <c r="G186" s="1853" t="s">
        <v>1</v>
      </c>
      <c r="H186" s="1853" t="s">
        <v>1</v>
      </c>
      <c r="I186" s="1853" t="s">
        <v>641</v>
      </c>
    </row>
    <row r="187" spans="1:9" ht="11.25" customHeight="1">
      <c r="A187" s="1853" t="s">
        <v>2101</v>
      </c>
      <c r="B187" s="1853" t="s">
        <v>0</v>
      </c>
      <c r="C187" s="1853" t="s">
        <v>2742</v>
      </c>
      <c r="D187" s="1853" t="s">
        <v>2743</v>
      </c>
      <c r="E187" s="1853" t="s">
        <v>2744</v>
      </c>
      <c r="F187" s="1853" t="s">
        <v>2745</v>
      </c>
      <c r="G187" s="1853" t="s">
        <v>1</v>
      </c>
      <c r="H187" s="1853" t="s">
        <v>1</v>
      </c>
      <c r="I187" s="1853" t="s">
        <v>641</v>
      </c>
    </row>
    <row r="188" spans="1:9" ht="11.25" customHeight="1">
      <c r="A188" s="1853" t="s">
        <v>2101</v>
      </c>
      <c r="B188" s="1853" t="s">
        <v>0</v>
      </c>
      <c r="C188" s="1853" t="s">
        <v>2746</v>
      </c>
      <c r="D188" s="1853" t="s">
        <v>2747</v>
      </c>
      <c r="E188" s="1853" t="s">
        <v>2748</v>
      </c>
      <c r="F188" s="1853" t="s">
        <v>2749</v>
      </c>
      <c r="G188" s="1853" t="s">
        <v>1</v>
      </c>
      <c r="H188" s="1853" t="s">
        <v>1</v>
      </c>
      <c r="I188" s="1853" t="s">
        <v>641</v>
      </c>
    </row>
    <row r="189" spans="1:9" ht="11.25" customHeight="1">
      <c r="A189" s="1853" t="s">
        <v>2101</v>
      </c>
      <c r="B189" s="1853" t="s">
        <v>0</v>
      </c>
      <c r="C189" s="1853" t="s">
        <v>2750</v>
      </c>
      <c r="D189" s="1853" t="s">
        <v>2751</v>
      </c>
      <c r="E189" s="1853" t="s">
        <v>2752</v>
      </c>
      <c r="F189" s="1853" t="s">
        <v>2528</v>
      </c>
      <c r="G189" s="1853" t="s">
        <v>2753</v>
      </c>
      <c r="H189" s="1853" t="s">
        <v>1</v>
      </c>
      <c r="I189" s="1853" t="s">
        <v>641</v>
      </c>
    </row>
    <row r="190" spans="1:9" ht="11.25" customHeight="1">
      <c r="A190" s="1853" t="s">
        <v>2101</v>
      </c>
      <c r="B190" s="1853" t="s">
        <v>0</v>
      </c>
      <c r="C190" s="1853" t="s">
        <v>2754</v>
      </c>
      <c r="D190" s="1853" t="s">
        <v>2755</v>
      </c>
      <c r="E190" s="1853" t="s">
        <v>2756</v>
      </c>
      <c r="F190" s="1853" t="s">
        <v>2528</v>
      </c>
      <c r="G190" s="1853" t="s">
        <v>2757</v>
      </c>
      <c r="H190" s="1853" t="s">
        <v>1</v>
      </c>
      <c r="I190" s="1853" t="s">
        <v>641</v>
      </c>
    </row>
    <row r="191" spans="1:9" ht="11.25" customHeight="1">
      <c r="A191" s="1853" t="s">
        <v>2101</v>
      </c>
      <c r="B191" s="1853" t="s">
        <v>0</v>
      </c>
      <c r="C191" s="1853" t="s">
        <v>2758</v>
      </c>
      <c r="D191" s="1853" t="s">
        <v>2759</v>
      </c>
      <c r="E191" s="1853" t="s">
        <v>2760</v>
      </c>
      <c r="F191" s="1853" t="s">
        <v>2528</v>
      </c>
      <c r="G191" s="1853" t="s">
        <v>2761</v>
      </c>
      <c r="H191" s="1853" t="s">
        <v>1</v>
      </c>
      <c r="I191" s="1853" t="s">
        <v>641</v>
      </c>
    </row>
    <row r="192" spans="1:9" ht="11.25" customHeight="1">
      <c r="A192" s="1853" t="s">
        <v>2101</v>
      </c>
      <c r="B192" s="1853" t="s">
        <v>0</v>
      </c>
      <c r="C192" s="1853" t="s">
        <v>2762</v>
      </c>
      <c r="D192" s="1853" t="s">
        <v>2763</v>
      </c>
      <c r="E192" s="1853" t="s">
        <v>2764</v>
      </c>
      <c r="F192" s="1853" t="s">
        <v>2528</v>
      </c>
      <c r="G192" s="1853" t="s">
        <v>2765</v>
      </c>
      <c r="H192" s="1853" t="s">
        <v>1</v>
      </c>
      <c r="I192" s="1853" t="s">
        <v>641</v>
      </c>
    </row>
    <row r="193" spans="1:9" ht="11.25" customHeight="1">
      <c r="A193" s="1853" t="s">
        <v>2101</v>
      </c>
      <c r="B193" s="1853" t="s">
        <v>0</v>
      </c>
      <c r="C193" s="1853" t="s">
        <v>2766</v>
      </c>
      <c r="D193" s="1853" t="s">
        <v>2767</v>
      </c>
      <c r="E193" s="1853" t="s">
        <v>2768</v>
      </c>
      <c r="F193" s="1853" t="s">
        <v>2528</v>
      </c>
      <c r="G193" s="1853" t="s">
        <v>1</v>
      </c>
      <c r="H193" s="1853" t="s">
        <v>1</v>
      </c>
      <c r="I193" s="1853" t="s">
        <v>641</v>
      </c>
    </row>
    <row r="194" spans="1:9" ht="11.25" customHeight="1">
      <c r="A194" s="1853" t="s">
        <v>2101</v>
      </c>
      <c r="B194" s="1853" t="s">
        <v>0</v>
      </c>
      <c r="C194" s="1853" t="s">
        <v>2769</v>
      </c>
      <c r="D194" s="1853" t="s">
        <v>2770</v>
      </c>
      <c r="E194" s="1853" t="s">
        <v>2771</v>
      </c>
      <c r="F194" s="1853" t="s">
        <v>2749</v>
      </c>
      <c r="G194" s="1853" t="s">
        <v>1</v>
      </c>
      <c r="H194" s="1853" t="s">
        <v>1</v>
      </c>
      <c r="I194" s="1853" t="s">
        <v>641</v>
      </c>
    </row>
    <row r="195" spans="1:9" ht="11.25" customHeight="1">
      <c r="A195" s="1853" t="s">
        <v>2101</v>
      </c>
      <c r="B195" s="1853" t="s">
        <v>0</v>
      </c>
      <c r="C195" s="1853" t="s">
        <v>2772</v>
      </c>
      <c r="D195" s="1853" t="s">
        <v>2773</v>
      </c>
      <c r="E195" s="1853" t="s">
        <v>2774</v>
      </c>
      <c r="F195" s="1853" t="s">
        <v>2749</v>
      </c>
      <c r="G195" s="1853" t="s">
        <v>1</v>
      </c>
      <c r="H195" s="1853" t="s">
        <v>1</v>
      </c>
      <c r="I195" s="1853" t="s">
        <v>641</v>
      </c>
    </row>
    <row r="196" spans="1:9" ht="11.25" customHeight="1">
      <c r="A196" s="1853" t="s">
        <v>2101</v>
      </c>
      <c r="B196" s="1853" t="s">
        <v>0</v>
      </c>
      <c r="C196" s="1853" t="s">
        <v>2775</v>
      </c>
      <c r="D196" s="1853" t="s">
        <v>2776</v>
      </c>
      <c r="E196" s="1853" t="s">
        <v>2777</v>
      </c>
      <c r="F196" s="1853" t="s">
        <v>2749</v>
      </c>
      <c r="G196" s="1853" t="s">
        <v>1</v>
      </c>
      <c r="H196" s="1853" t="s">
        <v>1</v>
      </c>
      <c r="I196" s="1853" t="s">
        <v>641</v>
      </c>
    </row>
    <row r="197" spans="1:9" ht="11.25" customHeight="1">
      <c r="A197" s="1853" t="s">
        <v>2101</v>
      </c>
      <c r="B197" s="1853" t="s">
        <v>0</v>
      </c>
      <c r="C197" s="1853" t="s">
        <v>2778</v>
      </c>
      <c r="D197" s="1853" t="s">
        <v>2779</v>
      </c>
      <c r="E197" s="1853" t="s">
        <v>2780</v>
      </c>
      <c r="F197" s="1853" t="s">
        <v>2708</v>
      </c>
      <c r="G197" s="1853" t="s">
        <v>2781</v>
      </c>
      <c r="H197" s="1853" t="s">
        <v>1</v>
      </c>
      <c r="I197" s="1853" t="s">
        <v>641</v>
      </c>
    </row>
    <row r="198" spans="1:9" ht="11.25" customHeight="1">
      <c r="A198" s="1853" t="s">
        <v>2101</v>
      </c>
      <c r="B198" s="1853" t="s">
        <v>0</v>
      </c>
      <c r="C198" s="1853" t="s">
        <v>2782</v>
      </c>
      <c r="D198" s="1853" t="s">
        <v>2783</v>
      </c>
      <c r="E198" s="1853" t="s">
        <v>2784</v>
      </c>
      <c r="F198" s="1853" t="s">
        <v>2708</v>
      </c>
      <c r="G198" s="1853" t="s">
        <v>1</v>
      </c>
      <c r="H198" s="1853" t="s">
        <v>1</v>
      </c>
      <c r="I198" s="1853" t="s">
        <v>641</v>
      </c>
    </row>
    <row r="199" spans="1:9" ht="11.25" customHeight="1">
      <c r="A199" s="1853" t="s">
        <v>2101</v>
      </c>
      <c r="B199" s="1853" t="s">
        <v>0</v>
      </c>
      <c r="C199" s="1853" t="s">
        <v>2785</v>
      </c>
      <c r="D199" s="1853" t="s">
        <v>2786</v>
      </c>
      <c r="E199" s="1853" t="s">
        <v>2787</v>
      </c>
      <c r="F199" s="1853" t="s">
        <v>2105</v>
      </c>
      <c r="G199" s="1853" t="s">
        <v>2788</v>
      </c>
      <c r="H199" s="1853" t="s">
        <v>1</v>
      </c>
      <c r="I199" s="1853" t="s">
        <v>641</v>
      </c>
    </row>
    <row r="200" spans="1:9" ht="11.25" customHeight="1">
      <c r="A200" s="1853" t="s">
        <v>2101</v>
      </c>
      <c r="B200" s="1853" t="s">
        <v>0</v>
      </c>
      <c r="C200" s="1853" t="s">
        <v>2789</v>
      </c>
      <c r="D200" s="1853" t="s">
        <v>2790</v>
      </c>
      <c r="E200" s="1853" t="s">
        <v>2791</v>
      </c>
      <c r="F200" s="1853" t="s">
        <v>2424</v>
      </c>
      <c r="G200" s="1853" t="s">
        <v>1</v>
      </c>
      <c r="H200" s="1853" t="s">
        <v>1</v>
      </c>
      <c r="I200" s="1853" t="s">
        <v>641</v>
      </c>
    </row>
    <row r="201" spans="1:9" ht="11.25" customHeight="1">
      <c r="A201" s="1853" t="s">
        <v>2101</v>
      </c>
      <c r="B201" s="1853" t="s">
        <v>0</v>
      </c>
      <c r="C201" s="1853" t="s">
        <v>2792</v>
      </c>
      <c r="D201" s="1853" t="s">
        <v>2793</v>
      </c>
      <c r="E201" s="1853" t="s">
        <v>2794</v>
      </c>
      <c r="F201" s="1853" t="s">
        <v>2191</v>
      </c>
      <c r="G201" s="1853" t="s">
        <v>2795</v>
      </c>
      <c r="H201" s="1853" t="s">
        <v>1</v>
      </c>
      <c r="I201" s="1853" t="s">
        <v>641</v>
      </c>
    </row>
    <row r="202" spans="1:9" ht="11.25" customHeight="1">
      <c r="A202" s="1853" t="s">
        <v>2101</v>
      </c>
      <c r="B202" s="1853" t="s">
        <v>0</v>
      </c>
      <c r="C202" s="1853" t="s">
        <v>2796</v>
      </c>
      <c r="D202" s="1853" t="s">
        <v>2797</v>
      </c>
      <c r="E202" s="1853" t="s">
        <v>2798</v>
      </c>
      <c r="F202" s="1853" t="s">
        <v>2424</v>
      </c>
      <c r="G202" s="1853" t="s">
        <v>1</v>
      </c>
      <c r="H202" s="1853" t="s">
        <v>1</v>
      </c>
      <c r="I202" s="1853" t="s">
        <v>641</v>
      </c>
    </row>
    <row r="203" spans="1:9" ht="11.25" customHeight="1">
      <c r="A203" s="1853" t="s">
        <v>2101</v>
      </c>
      <c r="B203" s="1853" t="s">
        <v>0</v>
      </c>
      <c r="C203" s="1853" t="s">
        <v>2799</v>
      </c>
      <c r="D203" s="1853" t="s">
        <v>2800</v>
      </c>
      <c r="E203" s="1853" t="s">
        <v>2801</v>
      </c>
      <c r="F203" s="1853" t="s">
        <v>2141</v>
      </c>
      <c r="G203" s="1853" t="s">
        <v>2802</v>
      </c>
      <c r="H203" s="1853" t="s">
        <v>1</v>
      </c>
      <c r="I203" s="1853" t="s">
        <v>641</v>
      </c>
    </row>
    <row r="204" spans="1:9" ht="11.25" customHeight="1">
      <c r="A204" s="1853" t="s">
        <v>2101</v>
      </c>
      <c r="B204" s="1853" t="s">
        <v>0</v>
      </c>
      <c r="C204" s="1853" t="s">
        <v>2803</v>
      </c>
      <c r="D204" s="1853" t="s">
        <v>2804</v>
      </c>
      <c r="E204" s="1853" t="s">
        <v>2805</v>
      </c>
      <c r="F204" s="1853" t="s">
        <v>2708</v>
      </c>
      <c r="G204" s="1853" t="s">
        <v>2806</v>
      </c>
      <c r="H204" s="1853" t="s">
        <v>1</v>
      </c>
      <c r="I204" s="1853" t="s">
        <v>641</v>
      </c>
    </row>
    <row r="205" spans="1:9" ht="11.25" customHeight="1">
      <c r="A205" s="1853" t="s">
        <v>2101</v>
      </c>
      <c r="B205" s="1853" t="s">
        <v>0</v>
      </c>
      <c r="C205" s="1853" t="s">
        <v>2807</v>
      </c>
      <c r="D205" s="1853" t="s">
        <v>2808</v>
      </c>
      <c r="E205" s="1853" t="s">
        <v>2809</v>
      </c>
      <c r="F205" s="1853" t="s">
        <v>2810</v>
      </c>
      <c r="G205" s="1853" t="s">
        <v>1</v>
      </c>
      <c r="H205" s="1853" t="s">
        <v>1</v>
      </c>
      <c r="I205" s="1853" t="s">
        <v>641</v>
      </c>
    </row>
    <row r="206" spans="1:9" ht="11.25" customHeight="1">
      <c r="A206" s="1853" t="s">
        <v>2101</v>
      </c>
      <c r="B206" s="1853" t="s">
        <v>0</v>
      </c>
      <c r="C206" s="1853" t="s">
        <v>2811</v>
      </c>
      <c r="D206" s="1853" t="s">
        <v>2812</v>
      </c>
      <c r="E206" s="1853" t="s">
        <v>2813</v>
      </c>
      <c r="F206" s="1853" t="s">
        <v>2329</v>
      </c>
      <c r="G206" s="1853" t="s">
        <v>2814</v>
      </c>
      <c r="H206" s="1853" t="s">
        <v>1</v>
      </c>
      <c r="I206" s="1853" t="s">
        <v>641</v>
      </c>
    </row>
    <row r="207" spans="1:9" ht="11.25" customHeight="1">
      <c r="A207" s="1853" t="s">
        <v>2101</v>
      </c>
      <c r="B207" s="1853" t="s">
        <v>0</v>
      </c>
      <c r="C207" s="1853" t="s">
        <v>2815</v>
      </c>
      <c r="D207" s="1853" t="s">
        <v>2816</v>
      </c>
      <c r="E207" s="1853" t="s">
        <v>2817</v>
      </c>
      <c r="F207" s="1853" t="s">
        <v>2159</v>
      </c>
      <c r="G207" s="1853" t="s">
        <v>1</v>
      </c>
      <c r="H207" s="1853" t="s">
        <v>1</v>
      </c>
      <c r="I207" s="1853" t="s">
        <v>641</v>
      </c>
    </row>
    <row r="208" spans="1:9" ht="11.25" customHeight="1">
      <c r="A208" s="1853" t="s">
        <v>2101</v>
      </c>
      <c r="B208" s="1853" t="s">
        <v>0</v>
      </c>
      <c r="C208" s="1853" t="s">
        <v>2818</v>
      </c>
      <c r="D208" s="1853" t="s">
        <v>2819</v>
      </c>
      <c r="E208" s="1853" t="s">
        <v>2820</v>
      </c>
      <c r="F208" s="1853" t="s">
        <v>2132</v>
      </c>
      <c r="G208" s="1853" t="s">
        <v>1</v>
      </c>
      <c r="H208" s="1853" t="s">
        <v>1</v>
      </c>
      <c r="I208" s="1853" t="s">
        <v>641</v>
      </c>
    </row>
    <row r="209" spans="1:9" ht="11.25" customHeight="1">
      <c r="A209" s="1853" t="s">
        <v>2101</v>
      </c>
      <c r="B209" s="1853" t="s">
        <v>0</v>
      </c>
      <c r="C209" s="1853" t="s">
        <v>2821</v>
      </c>
      <c r="D209" s="1853" t="s">
        <v>2822</v>
      </c>
      <c r="E209" s="1853" t="s">
        <v>2823</v>
      </c>
      <c r="F209" s="1853" t="s">
        <v>2187</v>
      </c>
      <c r="G209" s="1853" t="s">
        <v>1</v>
      </c>
      <c r="H209" s="1853" t="s">
        <v>1</v>
      </c>
      <c r="I209" s="1853" t="s">
        <v>641</v>
      </c>
    </row>
    <row r="210" spans="1:9" ht="11.25" customHeight="1">
      <c r="A210" s="1853" t="s">
        <v>2101</v>
      </c>
      <c r="B210" s="1853" t="s">
        <v>0</v>
      </c>
      <c r="C210" s="1853" t="s">
        <v>2824</v>
      </c>
      <c r="D210" s="1853" t="s">
        <v>2825</v>
      </c>
      <c r="E210" s="1853" t="s">
        <v>2826</v>
      </c>
      <c r="F210" s="1853" t="s">
        <v>2187</v>
      </c>
      <c r="G210" s="1853" t="s">
        <v>2827</v>
      </c>
      <c r="H210" s="1853" t="s">
        <v>1</v>
      </c>
      <c r="I210" s="1853" t="s">
        <v>641</v>
      </c>
    </row>
    <row r="211" spans="1:9" ht="11.25" customHeight="1">
      <c r="A211" s="1853" t="s">
        <v>2101</v>
      </c>
      <c r="B211" s="1853" t="s">
        <v>0</v>
      </c>
      <c r="C211" s="1853" t="s">
        <v>2828</v>
      </c>
      <c r="D211" s="1853" t="s">
        <v>2829</v>
      </c>
      <c r="E211" s="1853" t="s">
        <v>2830</v>
      </c>
      <c r="F211" s="1853" t="s">
        <v>2182</v>
      </c>
      <c r="G211" s="1853" t="s">
        <v>2831</v>
      </c>
      <c r="H211" s="1853" t="s">
        <v>1</v>
      </c>
      <c r="I211" s="1853" t="s">
        <v>641</v>
      </c>
    </row>
    <row r="212" spans="1:9" ht="11.25" customHeight="1">
      <c r="A212" s="1853" t="s">
        <v>2101</v>
      </c>
      <c r="B212" s="1853" t="s">
        <v>0</v>
      </c>
      <c r="C212" s="1853" t="s">
        <v>2832</v>
      </c>
      <c r="D212" s="1853" t="s">
        <v>2833</v>
      </c>
      <c r="E212" s="1853" t="s">
        <v>2834</v>
      </c>
      <c r="F212" s="1853" t="s">
        <v>2528</v>
      </c>
      <c r="G212" s="1853" t="s">
        <v>1</v>
      </c>
      <c r="H212" s="1853" t="s">
        <v>1</v>
      </c>
      <c r="I212" s="1853" t="s">
        <v>641</v>
      </c>
    </row>
    <row r="213" spans="1:9" ht="11.25" customHeight="1">
      <c r="A213" s="1853" t="s">
        <v>2101</v>
      </c>
      <c r="B213" s="1853" t="s">
        <v>0</v>
      </c>
      <c r="C213" s="1853" t="s">
        <v>2835</v>
      </c>
      <c r="D213" s="1853" t="s">
        <v>2836</v>
      </c>
      <c r="E213" s="1853" t="s">
        <v>2837</v>
      </c>
      <c r="F213" s="1853" t="s">
        <v>2187</v>
      </c>
      <c r="G213" s="1853" t="s">
        <v>1</v>
      </c>
      <c r="H213" s="1853" t="s">
        <v>1</v>
      </c>
      <c r="I213" s="1853" t="s">
        <v>641</v>
      </c>
    </row>
    <row r="214" spans="1:9" ht="11.25" customHeight="1">
      <c r="A214" s="1853" t="s">
        <v>2101</v>
      </c>
      <c r="B214" s="1853" t="s">
        <v>0</v>
      </c>
      <c r="C214" s="1853" t="s">
        <v>2838</v>
      </c>
      <c r="D214" s="1853" t="s">
        <v>2839</v>
      </c>
      <c r="E214" s="1853" t="s">
        <v>2840</v>
      </c>
      <c r="F214" s="1853" t="s">
        <v>2841</v>
      </c>
      <c r="G214" s="1853" t="s">
        <v>2842</v>
      </c>
      <c r="H214" s="1853" t="s">
        <v>1</v>
      </c>
      <c r="I214" s="1853" t="s">
        <v>641</v>
      </c>
    </row>
    <row r="215" spans="1:9" ht="11.25" customHeight="1">
      <c r="A215" s="1853" t="s">
        <v>2101</v>
      </c>
      <c r="B215" s="1853" t="s">
        <v>0</v>
      </c>
      <c r="C215" s="1853" t="s">
        <v>2843</v>
      </c>
      <c r="D215" s="1853" t="s">
        <v>2844</v>
      </c>
      <c r="E215" s="1853" t="s">
        <v>2845</v>
      </c>
      <c r="F215" s="1853" t="s">
        <v>2424</v>
      </c>
      <c r="G215" s="1853" t="s">
        <v>2846</v>
      </c>
      <c r="H215" s="1853" t="s">
        <v>1</v>
      </c>
      <c r="I215" s="1853" t="s">
        <v>641</v>
      </c>
    </row>
    <row r="216" spans="1:9" ht="11.25" customHeight="1">
      <c r="A216" s="1853" t="s">
        <v>2101</v>
      </c>
      <c r="B216" s="1853" t="s">
        <v>0</v>
      </c>
      <c r="C216" s="1853" t="s">
        <v>2847</v>
      </c>
      <c r="D216" s="1853" t="s">
        <v>2848</v>
      </c>
      <c r="E216" s="1853" t="s">
        <v>2849</v>
      </c>
      <c r="F216" s="1853" t="s">
        <v>2424</v>
      </c>
      <c r="G216" s="1853" t="s">
        <v>2850</v>
      </c>
      <c r="H216" s="1853" t="s">
        <v>1</v>
      </c>
      <c r="I216" s="1853" t="s">
        <v>641</v>
      </c>
    </row>
    <row r="217" spans="1:9" ht="11.25" customHeight="1">
      <c r="A217" s="1853" t="s">
        <v>2101</v>
      </c>
      <c r="B217" s="1853" t="s">
        <v>0</v>
      </c>
      <c r="C217" s="1853" t="s">
        <v>2851</v>
      </c>
      <c r="D217" s="1853" t="s">
        <v>2852</v>
      </c>
      <c r="E217" s="1853" t="s">
        <v>2853</v>
      </c>
      <c r="F217" s="1853" t="s">
        <v>2416</v>
      </c>
      <c r="G217" s="1853" t="s">
        <v>1</v>
      </c>
      <c r="H217" s="1853" t="s">
        <v>1</v>
      </c>
      <c r="I217" s="1853" t="s">
        <v>641</v>
      </c>
    </row>
    <row r="218" spans="1:9" ht="11.25" customHeight="1">
      <c r="A218" s="1853" t="s">
        <v>2101</v>
      </c>
      <c r="B218" s="1853" t="s">
        <v>0</v>
      </c>
      <c r="C218" s="1853" t="s">
        <v>2854</v>
      </c>
      <c r="D218" s="1853" t="s">
        <v>2855</v>
      </c>
      <c r="E218" s="1853" t="s">
        <v>2856</v>
      </c>
      <c r="F218" s="1853" t="s">
        <v>2528</v>
      </c>
      <c r="G218" s="1853" t="s">
        <v>2857</v>
      </c>
      <c r="H218" s="1853" t="s">
        <v>1</v>
      </c>
      <c r="I218" s="1853" t="s">
        <v>641</v>
      </c>
    </row>
    <row r="219" spans="1:9" ht="11.25" customHeight="1">
      <c r="A219" s="1853" t="s">
        <v>2101</v>
      </c>
      <c r="B219" s="1853" t="s">
        <v>0</v>
      </c>
      <c r="C219" s="1853" t="s">
        <v>2858</v>
      </c>
      <c r="D219" s="1853" t="s">
        <v>2859</v>
      </c>
      <c r="E219" s="1853" t="s">
        <v>2860</v>
      </c>
      <c r="F219" s="1853" t="s">
        <v>2191</v>
      </c>
      <c r="G219" s="1853" t="s">
        <v>2861</v>
      </c>
      <c r="H219" s="1853" t="s">
        <v>1</v>
      </c>
      <c r="I219" s="1853" t="s">
        <v>641</v>
      </c>
    </row>
    <row r="220" spans="1:9" ht="11.25" customHeight="1">
      <c r="A220" s="1853" t="s">
        <v>2101</v>
      </c>
      <c r="B220" s="1853" t="s">
        <v>0</v>
      </c>
      <c r="C220" s="1853" t="s">
        <v>2862</v>
      </c>
      <c r="D220" s="1853" t="s">
        <v>2863</v>
      </c>
      <c r="E220" s="1853" t="s">
        <v>2864</v>
      </c>
      <c r="F220" s="1853" t="s">
        <v>2132</v>
      </c>
      <c r="G220" s="1853" t="s">
        <v>1</v>
      </c>
      <c r="H220" s="1853" t="s">
        <v>1</v>
      </c>
      <c r="I220" s="1853" t="s">
        <v>641</v>
      </c>
    </row>
    <row r="221" spans="1:9" ht="11.25" customHeight="1">
      <c r="A221" s="1853" t="s">
        <v>2101</v>
      </c>
      <c r="B221" s="1853" t="s">
        <v>0</v>
      </c>
      <c r="C221" s="1853" t="s">
        <v>2865</v>
      </c>
      <c r="D221" s="1853" t="s">
        <v>2866</v>
      </c>
      <c r="E221" s="1853" t="s">
        <v>2867</v>
      </c>
      <c r="F221" s="1853" t="s">
        <v>2708</v>
      </c>
      <c r="G221" s="1853" t="s">
        <v>1</v>
      </c>
      <c r="H221" s="1853" t="s">
        <v>1</v>
      </c>
      <c r="I221" s="1853" t="s">
        <v>641</v>
      </c>
    </row>
    <row r="222" spans="1:9" ht="11.25" customHeight="1">
      <c r="A222" s="1853" t="s">
        <v>2101</v>
      </c>
      <c r="B222" s="1853" t="s">
        <v>0</v>
      </c>
      <c r="C222" s="1853" t="s">
        <v>2868</v>
      </c>
      <c r="D222" s="1853" t="s">
        <v>2869</v>
      </c>
      <c r="E222" s="1853" t="s">
        <v>2870</v>
      </c>
      <c r="F222" s="1853" t="s">
        <v>2871</v>
      </c>
      <c r="G222" s="1853" t="s">
        <v>1</v>
      </c>
      <c r="H222" s="1853" t="s">
        <v>1</v>
      </c>
      <c r="I222" s="1853" t="s">
        <v>641</v>
      </c>
    </row>
    <row r="223" spans="1:9" ht="11.25" customHeight="1">
      <c r="A223" s="1853" t="s">
        <v>2101</v>
      </c>
      <c r="B223" s="1853" t="s">
        <v>0</v>
      </c>
      <c r="C223" s="1853" t="s">
        <v>2872</v>
      </c>
      <c r="D223" s="1853" t="s">
        <v>2873</v>
      </c>
      <c r="E223" s="1853" t="s">
        <v>2874</v>
      </c>
      <c r="F223" s="1853" t="s">
        <v>2141</v>
      </c>
      <c r="G223" s="1853" t="s">
        <v>2875</v>
      </c>
      <c r="H223" s="1853" t="s">
        <v>1</v>
      </c>
      <c r="I223" s="1853" t="s">
        <v>641</v>
      </c>
    </row>
    <row r="224" spans="1:9" ht="11.25" customHeight="1">
      <c r="A224" s="1853" t="s">
        <v>2101</v>
      </c>
      <c r="B224" s="1853" t="s">
        <v>0</v>
      </c>
      <c r="C224" s="1853" t="s">
        <v>2876</v>
      </c>
      <c r="D224" s="1853" t="s">
        <v>2877</v>
      </c>
      <c r="E224" s="1853" t="s">
        <v>2878</v>
      </c>
      <c r="F224" s="1853" t="s">
        <v>2191</v>
      </c>
      <c r="G224" s="1853" t="s">
        <v>2879</v>
      </c>
      <c r="H224" s="1853" t="s">
        <v>1</v>
      </c>
      <c r="I224" s="1853" t="s">
        <v>641</v>
      </c>
    </row>
    <row r="225" spans="1:9" ht="11.25" customHeight="1">
      <c r="A225" s="1853" t="s">
        <v>2101</v>
      </c>
      <c r="B225" s="1853" t="s">
        <v>0</v>
      </c>
      <c r="C225" s="1853" t="s">
        <v>2880</v>
      </c>
      <c r="D225" s="1853" t="s">
        <v>2881</v>
      </c>
      <c r="E225" s="1853" t="s">
        <v>2882</v>
      </c>
      <c r="F225" s="1853" t="s">
        <v>2424</v>
      </c>
      <c r="G225" s="1853" t="s">
        <v>2883</v>
      </c>
      <c r="H225" s="1853" t="s">
        <v>1</v>
      </c>
      <c r="I225" s="1853" t="s">
        <v>641</v>
      </c>
    </row>
    <row r="226" spans="1:9" ht="11.25" customHeight="1">
      <c r="A226" s="1853" t="s">
        <v>2101</v>
      </c>
      <c r="B226" s="1853" t="s">
        <v>0</v>
      </c>
      <c r="C226" s="1853" t="s">
        <v>2884</v>
      </c>
      <c r="D226" s="1853" t="s">
        <v>2885</v>
      </c>
      <c r="E226" s="1853" t="s">
        <v>2886</v>
      </c>
      <c r="F226" s="1853" t="s">
        <v>2141</v>
      </c>
      <c r="G226" s="1853" t="s">
        <v>2887</v>
      </c>
      <c r="H226" s="1853" t="s">
        <v>1</v>
      </c>
      <c r="I226" s="1853" t="s">
        <v>641</v>
      </c>
    </row>
    <row r="227" spans="1:9" ht="11.25" customHeight="1">
      <c r="A227" s="1853" t="s">
        <v>2101</v>
      </c>
      <c r="B227" s="1853" t="s">
        <v>0</v>
      </c>
      <c r="C227" s="1853" t="s">
        <v>2888</v>
      </c>
      <c r="D227" s="1853" t="s">
        <v>2889</v>
      </c>
      <c r="E227" s="1853" t="s">
        <v>2890</v>
      </c>
      <c r="F227" s="1853" t="s">
        <v>2132</v>
      </c>
      <c r="G227" s="1853" t="s">
        <v>2891</v>
      </c>
      <c r="H227" s="1853" t="s">
        <v>1</v>
      </c>
      <c r="I227" s="1853" t="s">
        <v>641</v>
      </c>
    </row>
    <row r="228" spans="1:9" ht="11.25" customHeight="1">
      <c r="A228" s="1853" t="s">
        <v>2101</v>
      </c>
      <c r="B228" s="1853" t="s">
        <v>0</v>
      </c>
      <c r="C228" s="1853" t="s">
        <v>2892</v>
      </c>
      <c r="D228" s="1853" t="s">
        <v>2893</v>
      </c>
      <c r="E228" s="1853" t="s">
        <v>2894</v>
      </c>
      <c r="F228" s="1853" t="s">
        <v>2132</v>
      </c>
      <c r="G228" s="1853" t="s">
        <v>2846</v>
      </c>
      <c r="H228" s="1853" t="s">
        <v>1</v>
      </c>
      <c r="I228" s="1853" t="s">
        <v>641</v>
      </c>
    </row>
    <row r="229" spans="1:9" ht="11.25" customHeight="1">
      <c r="A229" s="1853" t="s">
        <v>2101</v>
      </c>
      <c r="B229" s="1853" t="s">
        <v>0</v>
      </c>
      <c r="C229" s="1853" t="s">
        <v>2895</v>
      </c>
      <c r="D229" s="1853" t="s">
        <v>2896</v>
      </c>
      <c r="E229" s="1853" t="s">
        <v>2897</v>
      </c>
      <c r="F229" s="1853" t="s">
        <v>2132</v>
      </c>
      <c r="G229" s="1853" t="s">
        <v>2898</v>
      </c>
      <c r="H229" s="1853" t="s">
        <v>1</v>
      </c>
      <c r="I229" s="1853" t="s">
        <v>641</v>
      </c>
    </row>
    <row r="230" spans="1:9" ht="11.25" customHeight="1">
      <c r="A230" s="1853" t="s">
        <v>2101</v>
      </c>
      <c r="B230" s="1853" t="s">
        <v>0</v>
      </c>
      <c r="C230" s="1853" t="s">
        <v>2899</v>
      </c>
      <c r="D230" s="1853" t="s">
        <v>2900</v>
      </c>
      <c r="E230" s="1853" t="s">
        <v>2901</v>
      </c>
      <c r="F230" s="1853" t="s">
        <v>2141</v>
      </c>
      <c r="G230" s="1853" t="s">
        <v>1</v>
      </c>
      <c r="H230" s="1853" t="s">
        <v>1</v>
      </c>
      <c r="I230" s="1853" t="s">
        <v>641</v>
      </c>
    </row>
    <row r="231" spans="1:9" ht="11.25" customHeight="1">
      <c r="A231" s="1853" t="s">
        <v>2101</v>
      </c>
      <c r="B231" s="1853" t="s">
        <v>0</v>
      </c>
      <c r="C231" s="1853" t="s">
        <v>2902</v>
      </c>
      <c r="D231" s="1853" t="s">
        <v>2903</v>
      </c>
      <c r="E231" s="1853" t="s">
        <v>2904</v>
      </c>
      <c r="F231" s="1853" t="s">
        <v>2191</v>
      </c>
      <c r="G231" s="1853" t="s">
        <v>2905</v>
      </c>
      <c r="H231" s="1853" t="s">
        <v>1</v>
      </c>
      <c r="I231" s="1853" t="s">
        <v>641</v>
      </c>
    </row>
    <row r="232" spans="1:9" ht="11.25" customHeight="1">
      <c r="A232" s="1853" t="s">
        <v>2101</v>
      </c>
      <c r="B232" s="1853" t="s">
        <v>0</v>
      </c>
      <c r="C232" s="1853" t="s">
        <v>2906</v>
      </c>
      <c r="D232" s="1853" t="s">
        <v>2907</v>
      </c>
      <c r="E232" s="1853" t="s">
        <v>2908</v>
      </c>
      <c r="F232" s="1853" t="s">
        <v>2187</v>
      </c>
      <c r="G232" s="1853" t="s">
        <v>2909</v>
      </c>
      <c r="H232" s="1853" t="s">
        <v>1</v>
      </c>
      <c r="I232" s="1853" t="s">
        <v>641</v>
      </c>
    </row>
    <row r="233" spans="1:9" ht="11.25" customHeight="1">
      <c r="A233" s="1853" t="s">
        <v>2101</v>
      </c>
      <c r="B233" s="1853" t="s">
        <v>0</v>
      </c>
      <c r="C233" s="1853" t="s">
        <v>2910</v>
      </c>
      <c r="D233" s="1853" t="s">
        <v>2911</v>
      </c>
      <c r="E233" s="1853" t="s">
        <v>2912</v>
      </c>
      <c r="F233" s="1853" t="s">
        <v>2187</v>
      </c>
      <c r="G233" s="1853" t="s">
        <v>2913</v>
      </c>
      <c r="H233" s="1853" t="s">
        <v>1</v>
      </c>
      <c r="I233" s="1853" t="s">
        <v>641</v>
      </c>
    </row>
    <row r="234" spans="1:9" ht="11.25" customHeight="1">
      <c r="A234" s="1853" t="s">
        <v>2101</v>
      </c>
      <c r="B234" s="1853" t="s">
        <v>0</v>
      </c>
      <c r="C234" s="1853" t="s">
        <v>2914</v>
      </c>
      <c r="D234" s="1853" t="s">
        <v>2915</v>
      </c>
      <c r="E234" s="1853" t="s">
        <v>2916</v>
      </c>
      <c r="F234" s="1853" t="s">
        <v>2741</v>
      </c>
      <c r="G234" s="1853" t="s">
        <v>1</v>
      </c>
      <c r="H234" s="1853" t="s">
        <v>2917</v>
      </c>
      <c r="I234" s="1853" t="s">
        <v>641</v>
      </c>
    </row>
    <row r="235" spans="1:9" ht="11.25" customHeight="1">
      <c r="A235" s="1853" t="s">
        <v>2101</v>
      </c>
      <c r="B235" s="1853" t="s">
        <v>0</v>
      </c>
      <c r="C235" s="1853" t="s">
        <v>2918</v>
      </c>
      <c r="D235" s="1853" t="s">
        <v>2919</v>
      </c>
      <c r="E235" s="1853" t="s">
        <v>2920</v>
      </c>
      <c r="F235" s="1853" t="s">
        <v>2528</v>
      </c>
      <c r="G235" s="1853" t="s">
        <v>2921</v>
      </c>
      <c r="H235" s="1853" t="s">
        <v>1</v>
      </c>
      <c r="I235" s="1853" t="s">
        <v>641</v>
      </c>
    </row>
    <row r="236" spans="1:9" ht="11.25" customHeight="1">
      <c r="A236" s="1853" t="s">
        <v>2101</v>
      </c>
      <c r="B236" s="1853" t="s">
        <v>0</v>
      </c>
      <c r="C236" s="1853" t="s">
        <v>2922</v>
      </c>
      <c r="D236" s="1853" t="s">
        <v>2923</v>
      </c>
      <c r="E236" s="1853" t="s">
        <v>2924</v>
      </c>
      <c r="F236" s="1853" t="s">
        <v>2159</v>
      </c>
      <c r="G236" s="1853" t="s">
        <v>2925</v>
      </c>
      <c r="H236" s="1853" t="s">
        <v>1</v>
      </c>
      <c r="I236" s="1853" t="s">
        <v>641</v>
      </c>
    </row>
    <row r="237" spans="1:9" ht="11.25" customHeight="1">
      <c r="A237" s="1853" t="s">
        <v>2101</v>
      </c>
      <c r="B237" s="1853" t="s">
        <v>0</v>
      </c>
      <c r="C237" s="1853" t="s">
        <v>2926</v>
      </c>
      <c r="D237" s="1853" t="s">
        <v>2927</v>
      </c>
      <c r="E237" s="1853" t="s">
        <v>2928</v>
      </c>
      <c r="F237" s="1853" t="s">
        <v>2424</v>
      </c>
      <c r="G237" s="1853" t="s">
        <v>1</v>
      </c>
      <c r="H237" s="1853" t="s">
        <v>1</v>
      </c>
      <c r="I237" s="1853" t="s">
        <v>641</v>
      </c>
    </row>
    <row r="238" spans="1:9" ht="11.25" customHeight="1">
      <c r="A238" s="1853" t="s">
        <v>2101</v>
      </c>
      <c r="B238" s="1853" t="s">
        <v>0</v>
      </c>
      <c r="C238" s="1853" t="s">
        <v>2929</v>
      </c>
      <c r="D238" s="1853" t="s">
        <v>2930</v>
      </c>
      <c r="E238" s="1853" t="s">
        <v>2931</v>
      </c>
      <c r="F238" s="1853" t="s">
        <v>2239</v>
      </c>
      <c r="G238" s="1853" t="s">
        <v>2932</v>
      </c>
      <c r="H238" s="1853" t="s">
        <v>1</v>
      </c>
      <c r="I238" s="1853" t="s">
        <v>641</v>
      </c>
    </row>
    <row r="239" spans="1:9" ht="11.25" customHeight="1">
      <c r="A239" s="1853" t="s">
        <v>2101</v>
      </c>
      <c r="B239" s="1853" t="s">
        <v>0</v>
      </c>
      <c r="C239" s="1853" t="s">
        <v>2933</v>
      </c>
      <c r="D239" s="1853" t="s">
        <v>2934</v>
      </c>
      <c r="E239" s="1853" t="s">
        <v>2935</v>
      </c>
      <c r="F239" s="1853" t="s">
        <v>2936</v>
      </c>
      <c r="G239" s="1853" t="s">
        <v>2937</v>
      </c>
      <c r="H239" s="1853" t="s">
        <v>1</v>
      </c>
      <c r="I239" s="1853" t="s">
        <v>641</v>
      </c>
    </row>
    <row r="240" spans="1:9" ht="11.25" customHeight="1">
      <c r="A240" s="1853" t="s">
        <v>2101</v>
      </c>
      <c r="B240" s="1853" t="s">
        <v>0</v>
      </c>
      <c r="C240" s="1853" t="s">
        <v>2938</v>
      </c>
      <c r="D240" s="1853" t="s">
        <v>2939</v>
      </c>
      <c r="E240" s="1853" t="s">
        <v>2940</v>
      </c>
      <c r="F240" s="1853" t="s">
        <v>2222</v>
      </c>
      <c r="G240" s="1853" t="s">
        <v>1</v>
      </c>
      <c r="H240" s="1853" t="s">
        <v>1</v>
      </c>
      <c r="I240" s="1853" t="s">
        <v>641</v>
      </c>
    </row>
    <row r="241" spans="1:9" ht="11.25" customHeight="1">
      <c r="A241" s="1853" t="s">
        <v>2101</v>
      </c>
      <c r="B241" s="1853" t="s">
        <v>0</v>
      </c>
      <c r="C241" s="1853" t="s">
        <v>2941</v>
      </c>
      <c r="D241" s="1853" t="s">
        <v>2942</v>
      </c>
      <c r="E241" s="1853" t="s">
        <v>2943</v>
      </c>
      <c r="F241" s="1853" t="s">
        <v>2191</v>
      </c>
      <c r="G241" s="1853" t="s">
        <v>2944</v>
      </c>
      <c r="H241" s="1853" t="s">
        <v>1</v>
      </c>
      <c r="I241" s="1853" t="s">
        <v>641</v>
      </c>
    </row>
    <row r="242" spans="1:9" ht="11.25" customHeight="1">
      <c r="A242" s="1853" t="s">
        <v>2101</v>
      </c>
      <c r="B242" s="1853" t="s">
        <v>0</v>
      </c>
      <c r="C242" s="1853" t="s">
        <v>2945</v>
      </c>
      <c r="D242" s="1853" t="s">
        <v>2946</v>
      </c>
      <c r="E242" s="1853" t="s">
        <v>2947</v>
      </c>
      <c r="F242" s="1853" t="s">
        <v>2187</v>
      </c>
      <c r="G242" s="1853" t="s">
        <v>2948</v>
      </c>
      <c r="H242" s="1853" t="s">
        <v>1</v>
      </c>
      <c r="I242" s="1853" t="s">
        <v>641</v>
      </c>
    </row>
    <row r="243" spans="1:9" ht="11.25" customHeight="1">
      <c r="A243" s="1853" t="s">
        <v>2101</v>
      </c>
      <c r="B243" s="1853" t="s">
        <v>0</v>
      </c>
      <c r="C243" s="1853" t="s">
        <v>2949</v>
      </c>
      <c r="D243" s="1853" t="s">
        <v>2950</v>
      </c>
      <c r="E243" s="1853" t="s">
        <v>2951</v>
      </c>
      <c r="F243" s="1853" t="s">
        <v>2187</v>
      </c>
      <c r="G243" s="1853" t="s">
        <v>2952</v>
      </c>
      <c r="H243" s="1853" t="s">
        <v>1</v>
      </c>
      <c r="I243" s="1853" t="s">
        <v>641</v>
      </c>
    </row>
    <row r="244" spans="1:9" ht="11.25" customHeight="1">
      <c r="A244" s="1853" t="s">
        <v>2101</v>
      </c>
      <c r="B244" s="1853" t="s">
        <v>0</v>
      </c>
      <c r="C244" s="1853" t="s">
        <v>2953</v>
      </c>
      <c r="D244" s="1853" t="s">
        <v>2954</v>
      </c>
      <c r="E244" s="1853" t="s">
        <v>2955</v>
      </c>
      <c r="F244" s="1853" t="s">
        <v>2936</v>
      </c>
      <c r="G244" s="1853" t="s">
        <v>1</v>
      </c>
      <c r="H244" s="1853" t="s">
        <v>1</v>
      </c>
      <c r="I244" s="1853" t="s">
        <v>641</v>
      </c>
    </row>
    <row r="245" spans="1:9" ht="11.25" customHeight="1">
      <c r="A245" s="1853" t="s">
        <v>2101</v>
      </c>
      <c r="B245" s="1853" t="s">
        <v>0</v>
      </c>
      <c r="C245" s="1853" t="s">
        <v>2956</v>
      </c>
      <c r="D245" s="1853" t="s">
        <v>2957</v>
      </c>
      <c r="E245" s="1853" t="s">
        <v>2958</v>
      </c>
      <c r="F245" s="1853" t="s">
        <v>2528</v>
      </c>
      <c r="G245" s="1853" t="s">
        <v>1</v>
      </c>
      <c r="H245" s="1853" t="s">
        <v>1</v>
      </c>
      <c r="I245" s="1853" t="s">
        <v>641</v>
      </c>
    </row>
    <row r="246" spans="1:9" ht="11.25" customHeight="1">
      <c r="A246" s="1853" t="s">
        <v>2101</v>
      </c>
      <c r="B246" s="1853" t="s">
        <v>0</v>
      </c>
      <c r="C246" s="1853" t="s">
        <v>2959</v>
      </c>
      <c r="D246" s="1853" t="s">
        <v>2960</v>
      </c>
      <c r="E246" s="1853" t="s">
        <v>2961</v>
      </c>
      <c r="F246" s="1853" t="s">
        <v>2528</v>
      </c>
      <c r="G246" s="1853" t="s">
        <v>1</v>
      </c>
      <c r="H246" s="1853" t="s">
        <v>1</v>
      </c>
      <c r="I246" s="1853" t="s">
        <v>641</v>
      </c>
    </row>
    <row r="247" spans="1:9" ht="11.25" customHeight="1">
      <c r="A247" s="1853" t="s">
        <v>2101</v>
      </c>
      <c r="B247" s="1853" t="s">
        <v>0</v>
      </c>
      <c r="C247" s="1853" t="s">
        <v>2962</v>
      </c>
      <c r="D247" s="1853" t="s">
        <v>2963</v>
      </c>
      <c r="E247" s="1853" t="s">
        <v>2964</v>
      </c>
      <c r="F247" s="1853" t="s">
        <v>2528</v>
      </c>
      <c r="G247" s="1853" t="s">
        <v>1</v>
      </c>
      <c r="H247" s="1853" t="s">
        <v>1</v>
      </c>
      <c r="I247" s="1853" t="s">
        <v>641</v>
      </c>
    </row>
    <row r="248" spans="1:9" ht="11.25" customHeight="1">
      <c r="A248" s="1853" t="s">
        <v>2101</v>
      </c>
      <c r="B248" s="1853" t="s">
        <v>0</v>
      </c>
      <c r="C248" s="1853" t="s">
        <v>2965</v>
      </c>
      <c r="D248" s="1853" t="s">
        <v>2966</v>
      </c>
      <c r="E248" s="1853" t="s">
        <v>2967</v>
      </c>
      <c r="F248" s="1853" t="s">
        <v>2528</v>
      </c>
      <c r="G248" s="1853" t="s">
        <v>2968</v>
      </c>
      <c r="H248" s="1853" t="s">
        <v>1</v>
      </c>
      <c r="I248" s="1853" t="s">
        <v>641</v>
      </c>
    </row>
    <row r="249" spans="1:9" ht="11.25" customHeight="1">
      <c r="A249" s="1853" t="s">
        <v>2101</v>
      </c>
      <c r="B249" s="1853" t="s">
        <v>0</v>
      </c>
      <c r="C249" s="1853" t="s">
        <v>2969</v>
      </c>
      <c r="D249" s="1853" t="s">
        <v>2970</v>
      </c>
      <c r="E249" s="1853" t="s">
        <v>2971</v>
      </c>
      <c r="F249" s="1853" t="s">
        <v>2528</v>
      </c>
      <c r="G249" s="1853" t="s">
        <v>2972</v>
      </c>
      <c r="H249" s="1853" t="s">
        <v>1</v>
      </c>
      <c r="I249" s="1853" t="s">
        <v>641</v>
      </c>
    </row>
    <row r="250" spans="1:9" ht="11.25" customHeight="1">
      <c r="A250" s="1853" t="s">
        <v>2101</v>
      </c>
      <c r="B250" s="1853" t="s">
        <v>0</v>
      </c>
      <c r="C250" s="1853" t="s">
        <v>2973</v>
      </c>
      <c r="D250" s="1853" t="s">
        <v>2974</v>
      </c>
      <c r="E250" s="1853" t="s">
        <v>2975</v>
      </c>
      <c r="F250" s="1853" t="s">
        <v>2187</v>
      </c>
      <c r="G250" s="1853" t="s">
        <v>1</v>
      </c>
      <c r="H250" s="1853" t="s">
        <v>1</v>
      </c>
      <c r="I250" s="1853" t="s">
        <v>641</v>
      </c>
    </row>
    <row r="251" spans="1:9" ht="11.25" customHeight="1">
      <c r="A251" s="1853" t="s">
        <v>2101</v>
      </c>
      <c r="B251" s="1853" t="s">
        <v>0</v>
      </c>
      <c r="C251" s="1853" t="s">
        <v>2976</v>
      </c>
      <c r="D251" s="1853" t="s">
        <v>2977</v>
      </c>
      <c r="E251" s="1853" t="s">
        <v>2978</v>
      </c>
      <c r="F251" s="1853" t="s">
        <v>2196</v>
      </c>
      <c r="G251" s="1853" t="s">
        <v>2979</v>
      </c>
      <c r="H251" s="1853" t="s">
        <v>1</v>
      </c>
      <c r="I251" s="1853" t="s">
        <v>641</v>
      </c>
    </row>
    <row r="252" spans="1:9" ht="11.25" customHeight="1">
      <c r="A252" s="1853" t="s">
        <v>2101</v>
      </c>
      <c r="B252" s="1853" t="s">
        <v>0</v>
      </c>
      <c r="C252" s="1853" t="s">
        <v>2980</v>
      </c>
      <c r="D252" s="1853" t="s">
        <v>2981</v>
      </c>
      <c r="E252" s="1853" t="s">
        <v>2982</v>
      </c>
      <c r="F252" s="1853" t="s">
        <v>2528</v>
      </c>
      <c r="G252" s="1853" t="s">
        <v>1</v>
      </c>
      <c r="H252" s="1853" t="s">
        <v>1</v>
      </c>
      <c r="I252" s="1853" t="s">
        <v>641</v>
      </c>
    </row>
    <row r="253" spans="1:9" ht="11.25" customHeight="1">
      <c r="A253" s="1853" t="s">
        <v>2101</v>
      </c>
      <c r="B253" s="1853" t="s">
        <v>0</v>
      </c>
      <c r="C253" s="1853" t="s">
        <v>2983</v>
      </c>
      <c r="D253" s="1853" t="s">
        <v>2984</v>
      </c>
      <c r="E253" s="1853" t="s">
        <v>2985</v>
      </c>
      <c r="F253" s="1853" t="s">
        <v>2132</v>
      </c>
      <c r="G253" s="1853" t="s">
        <v>2986</v>
      </c>
      <c r="H253" s="1853" t="s">
        <v>1</v>
      </c>
      <c r="I253" s="1853" t="s">
        <v>641</v>
      </c>
    </row>
    <row r="254" spans="1:9" ht="11.25" customHeight="1">
      <c r="A254" s="1853" t="s">
        <v>2101</v>
      </c>
      <c r="B254" s="1853" t="s">
        <v>0</v>
      </c>
      <c r="C254" s="1853" t="s">
        <v>2987</v>
      </c>
      <c r="D254" s="1853" t="s">
        <v>2988</v>
      </c>
      <c r="E254" s="1853" t="s">
        <v>2989</v>
      </c>
      <c r="F254" s="1853" t="s">
        <v>2990</v>
      </c>
      <c r="G254" s="1853" t="s">
        <v>1</v>
      </c>
      <c r="H254" s="1853" t="s">
        <v>1</v>
      </c>
      <c r="I254" s="1853" t="s">
        <v>641</v>
      </c>
    </row>
    <row r="255" spans="1:9" ht="11.25" customHeight="1">
      <c r="A255" s="1853" t="s">
        <v>2101</v>
      </c>
      <c r="B255" s="1853" t="s">
        <v>0</v>
      </c>
      <c r="C255" s="1853" t="s">
        <v>2991</v>
      </c>
      <c r="D255" s="1853" t="s">
        <v>2992</v>
      </c>
      <c r="E255" s="1853" t="s">
        <v>2993</v>
      </c>
      <c r="F255" s="1853" t="s">
        <v>2239</v>
      </c>
      <c r="G255" s="1853" t="s">
        <v>1</v>
      </c>
      <c r="H255" s="1853" t="s">
        <v>1</v>
      </c>
      <c r="I255" s="1853" t="s">
        <v>641</v>
      </c>
    </row>
    <row r="256" spans="1:9" ht="11.25" customHeight="1">
      <c r="A256" s="1853" t="s">
        <v>2101</v>
      </c>
      <c r="B256" s="1853" t="s">
        <v>0</v>
      </c>
      <c r="C256" s="1853" t="s">
        <v>2994</v>
      </c>
      <c r="D256" s="1853" t="s">
        <v>2995</v>
      </c>
      <c r="E256" s="1853" t="s">
        <v>2996</v>
      </c>
      <c r="F256" s="1853" t="s">
        <v>2230</v>
      </c>
      <c r="G256" s="1853" t="s">
        <v>2857</v>
      </c>
      <c r="H256" s="1853" t="s">
        <v>2997</v>
      </c>
      <c r="I256" s="1853" t="s">
        <v>641</v>
      </c>
    </row>
    <row r="257" spans="1:9" ht="11.25" customHeight="1">
      <c r="A257" s="1853" t="s">
        <v>2101</v>
      </c>
      <c r="B257" s="1853" t="s">
        <v>0</v>
      </c>
      <c r="C257" s="1853" t="s">
        <v>2998</v>
      </c>
      <c r="D257" s="1853" t="s">
        <v>2999</v>
      </c>
      <c r="E257" s="1853" t="s">
        <v>3000</v>
      </c>
      <c r="F257" s="1853" t="s">
        <v>2424</v>
      </c>
      <c r="G257" s="1853" t="s">
        <v>1</v>
      </c>
      <c r="H257" s="1853" t="s">
        <v>1</v>
      </c>
      <c r="I257" s="1853" t="s">
        <v>641</v>
      </c>
    </row>
    <row r="258" spans="1:9" ht="11.25" customHeight="1">
      <c r="A258" s="1853" t="s">
        <v>2101</v>
      </c>
      <c r="B258" s="1853" t="s">
        <v>0</v>
      </c>
      <c r="C258" s="1853" t="s">
        <v>3001</v>
      </c>
      <c r="D258" s="1853" t="s">
        <v>3002</v>
      </c>
      <c r="E258" s="1853" t="s">
        <v>3003</v>
      </c>
      <c r="F258" s="1853" t="s">
        <v>2528</v>
      </c>
      <c r="G258" s="1853" t="s">
        <v>3004</v>
      </c>
      <c r="H258" s="1853" t="s">
        <v>1</v>
      </c>
      <c r="I258" s="1853" t="s">
        <v>641</v>
      </c>
    </row>
    <row r="259" spans="1:9" ht="11.25" customHeight="1">
      <c r="A259" s="1853" t="s">
        <v>2101</v>
      </c>
      <c r="B259" s="1853" t="s">
        <v>0</v>
      </c>
      <c r="C259" s="1853" t="s">
        <v>3005</v>
      </c>
      <c r="D259" s="1853" t="s">
        <v>3006</v>
      </c>
      <c r="E259" s="1853" t="s">
        <v>3007</v>
      </c>
      <c r="F259" s="1853" t="s">
        <v>3008</v>
      </c>
      <c r="G259" s="1853" t="s">
        <v>1</v>
      </c>
      <c r="H259" s="1853" t="s">
        <v>1</v>
      </c>
      <c r="I259" s="1853" t="s">
        <v>641</v>
      </c>
    </row>
    <row r="260" spans="1:9" ht="11.25" customHeight="1">
      <c r="A260" s="1853" t="s">
        <v>2101</v>
      </c>
      <c r="B260" s="1853" t="s">
        <v>0</v>
      </c>
      <c r="C260" s="1853" t="s">
        <v>3009</v>
      </c>
      <c r="D260" s="1853" t="s">
        <v>3010</v>
      </c>
      <c r="E260" s="1853" t="s">
        <v>3011</v>
      </c>
      <c r="F260" s="1853" t="s">
        <v>2424</v>
      </c>
      <c r="G260" s="1853" t="s">
        <v>1</v>
      </c>
      <c r="H260" s="1853" t="s">
        <v>1</v>
      </c>
      <c r="I260" s="1853" t="s">
        <v>641</v>
      </c>
    </row>
    <row r="261" spans="1:9" ht="11.25" customHeight="1">
      <c r="A261" s="1853" t="s">
        <v>2101</v>
      </c>
      <c r="B261" s="1853" t="s">
        <v>0</v>
      </c>
      <c r="C261" s="1853" t="s">
        <v>3012</v>
      </c>
      <c r="D261" s="1853" t="s">
        <v>3013</v>
      </c>
      <c r="E261" s="1853" t="s">
        <v>3014</v>
      </c>
      <c r="F261" s="1853" t="s">
        <v>2424</v>
      </c>
      <c r="G261" s="1853" t="s">
        <v>3015</v>
      </c>
      <c r="H261" s="1853" t="s">
        <v>1</v>
      </c>
      <c r="I261" s="1853" t="s">
        <v>641</v>
      </c>
    </row>
    <row r="262" spans="1:9" ht="11.25" customHeight="1">
      <c r="A262" s="1853" t="s">
        <v>2101</v>
      </c>
      <c r="B262" s="1853" t="s">
        <v>0</v>
      </c>
      <c r="C262" s="1853" t="s">
        <v>3016</v>
      </c>
      <c r="D262" s="1853" t="s">
        <v>3017</v>
      </c>
      <c r="E262" s="1853" t="s">
        <v>3018</v>
      </c>
      <c r="F262" s="1853" t="s">
        <v>3019</v>
      </c>
      <c r="G262" s="1853" t="s">
        <v>1</v>
      </c>
      <c r="H262" s="1853" t="s">
        <v>1</v>
      </c>
      <c r="I262" s="1853" t="s">
        <v>641</v>
      </c>
    </row>
    <row r="263" spans="1:9" ht="11.25" customHeight="1">
      <c r="A263" s="1853" t="s">
        <v>2101</v>
      </c>
      <c r="B263" s="1853" t="s">
        <v>0</v>
      </c>
      <c r="C263" s="1853" t="s">
        <v>3020</v>
      </c>
      <c r="D263" s="1853" t="s">
        <v>3021</v>
      </c>
      <c r="E263" s="1853" t="s">
        <v>3022</v>
      </c>
      <c r="F263" s="1853" t="s">
        <v>2159</v>
      </c>
      <c r="G263" s="1853" t="s">
        <v>3023</v>
      </c>
      <c r="H263" s="1853" t="s">
        <v>1</v>
      </c>
      <c r="I263" s="1853" t="s">
        <v>641</v>
      </c>
    </row>
    <row r="264" spans="1:9" ht="11.25" customHeight="1">
      <c r="A264" s="1853" t="s">
        <v>2101</v>
      </c>
      <c r="B264" s="1853" t="s">
        <v>0</v>
      </c>
      <c r="C264" s="1853" t="s">
        <v>3024</v>
      </c>
      <c r="D264" s="1853" t="s">
        <v>3025</v>
      </c>
      <c r="E264" s="1853" t="s">
        <v>3026</v>
      </c>
      <c r="F264" s="1853" t="s">
        <v>2708</v>
      </c>
      <c r="G264" s="1853" t="s">
        <v>3027</v>
      </c>
      <c r="H264" s="1853" t="s">
        <v>1</v>
      </c>
      <c r="I264" s="1853" t="s">
        <v>641</v>
      </c>
    </row>
    <row r="265" spans="1:9" ht="11.25" customHeight="1">
      <c r="A265" s="1853" t="s">
        <v>2101</v>
      </c>
      <c r="B265" s="1853" t="s">
        <v>0</v>
      </c>
      <c r="C265" s="1853" t="s">
        <v>3028</v>
      </c>
      <c r="D265" s="1853" t="s">
        <v>3029</v>
      </c>
      <c r="E265" s="1853" t="s">
        <v>3030</v>
      </c>
      <c r="F265" s="1853" t="s">
        <v>2141</v>
      </c>
      <c r="G265" s="1853" t="s">
        <v>1</v>
      </c>
      <c r="H265" s="1853" t="s">
        <v>1</v>
      </c>
      <c r="I265" s="1853" t="s">
        <v>641</v>
      </c>
    </row>
    <row r="266" spans="1:9" ht="11.25" customHeight="1">
      <c r="A266" s="1853" t="s">
        <v>2101</v>
      </c>
      <c r="B266" s="1853" t="s">
        <v>0</v>
      </c>
      <c r="C266" s="1853" t="s">
        <v>3031</v>
      </c>
      <c r="D266" s="1853" t="s">
        <v>3032</v>
      </c>
      <c r="E266" s="1853" t="s">
        <v>3033</v>
      </c>
      <c r="F266" s="1853" t="s">
        <v>2132</v>
      </c>
      <c r="G266" s="1853" t="s">
        <v>1</v>
      </c>
      <c r="H266" s="1853" t="s">
        <v>1</v>
      </c>
      <c r="I266" s="1853" t="s">
        <v>641</v>
      </c>
    </row>
    <row r="267" spans="1:9" ht="11.25" customHeight="1">
      <c r="A267" s="1853" t="s">
        <v>2101</v>
      </c>
      <c r="B267" s="1853" t="s">
        <v>0</v>
      </c>
      <c r="C267" s="1853" t="s">
        <v>3034</v>
      </c>
      <c r="D267" s="1853" t="s">
        <v>3035</v>
      </c>
      <c r="E267" s="1853" t="s">
        <v>3036</v>
      </c>
      <c r="F267" s="1853" t="s">
        <v>2105</v>
      </c>
      <c r="G267" s="1853" t="s">
        <v>3037</v>
      </c>
      <c r="H267" s="1853" t="s">
        <v>1</v>
      </c>
      <c r="I267" s="1853" t="s">
        <v>641</v>
      </c>
    </row>
    <row r="268" spans="1:9" ht="11.25" customHeight="1">
      <c r="A268" s="1853" t="s">
        <v>2101</v>
      </c>
      <c r="B268" s="1853" t="s">
        <v>0</v>
      </c>
      <c r="C268" s="1853" t="s">
        <v>3038</v>
      </c>
      <c r="D268" s="1853" t="s">
        <v>3039</v>
      </c>
      <c r="E268" s="1853" t="s">
        <v>3040</v>
      </c>
      <c r="F268" s="1853" t="s">
        <v>2141</v>
      </c>
      <c r="G268" s="1853" t="s">
        <v>3041</v>
      </c>
      <c r="H268" s="1853" t="s">
        <v>1</v>
      </c>
      <c r="I268" s="1853" t="s">
        <v>641</v>
      </c>
    </row>
    <row r="269" spans="1:9" ht="11.25" customHeight="1">
      <c r="A269" s="1853" t="s">
        <v>2101</v>
      </c>
      <c r="B269" s="1853" t="s">
        <v>0</v>
      </c>
      <c r="C269" s="1853" t="s">
        <v>3042</v>
      </c>
      <c r="D269" s="1853" t="s">
        <v>3043</v>
      </c>
      <c r="E269" s="1853" t="s">
        <v>3044</v>
      </c>
      <c r="F269" s="1853" t="s">
        <v>2105</v>
      </c>
      <c r="G269" s="1853" t="s">
        <v>3045</v>
      </c>
      <c r="H269" s="1853" t="s">
        <v>1</v>
      </c>
      <c r="I269" s="1853" t="s">
        <v>641</v>
      </c>
    </row>
    <row r="270" spans="1:9" ht="11.25" customHeight="1">
      <c r="A270" s="1853" t="s">
        <v>2101</v>
      </c>
      <c r="B270" s="1853" t="s">
        <v>0</v>
      </c>
      <c r="C270" s="1853" t="s">
        <v>3046</v>
      </c>
      <c r="D270" s="1853" t="s">
        <v>3047</v>
      </c>
      <c r="E270" s="1853" t="s">
        <v>3048</v>
      </c>
      <c r="F270" s="1853" t="s">
        <v>2132</v>
      </c>
      <c r="G270" s="1853" t="s">
        <v>1</v>
      </c>
      <c r="H270" s="1853" t="s">
        <v>1</v>
      </c>
      <c r="I270" s="1853" t="s">
        <v>641</v>
      </c>
    </row>
    <row r="271" spans="1:9" ht="11.25" customHeight="1">
      <c r="A271" s="1853" t="s">
        <v>2101</v>
      </c>
      <c r="B271" s="1853" t="s">
        <v>0</v>
      </c>
      <c r="C271" s="1853" t="s">
        <v>3049</v>
      </c>
      <c r="D271" s="1853" t="s">
        <v>3050</v>
      </c>
      <c r="E271" s="1853" t="s">
        <v>3051</v>
      </c>
      <c r="F271" s="1853" t="s">
        <v>2132</v>
      </c>
      <c r="G271" s="1853" t="s">
        <v>3052</v>
      </c>
      <c r="H271" s="1853" t="s">
        <v>1</v>
      </c>
      <c r="I271" s="1853" t="s">
        <v>641</v>
      </c>
    </row>
    <row r="272" spans="1:9" ht="11.25" customHeight="1">
      <c r="A272" s="1853" t="s">
        <v>2101</v>
      </c>
      <c r="B272" s="1853" t="s">
        <v>0</v>
      </c>
      <c r="C272" s="1853" t="s">
        <v>3053</v>
      </c>
      <c r="D272" s="1853" t="s">
        <v>3054</v>
      </c>
      <c r="E272" s="1853" t="s">
        <v>3055</v>
      </c>
      <c r="F272" s="1853" t="s">
        <v>2132</v>
      </c>
      <c r="G272" s="1853" t="s">
        <v>1</v>
      </c>
      <c r="H272" s="1853" t="s">
        <v>1</v>
      </c>
      <c r="I272" s="1853" t="s">
        <v>641</v>
      </c>
    </row>
    <row r="273" spans="1:9" ht="11.25" customHeight="1">
      <c r="A273" s="1853" t="s">
        <v>2101</v>
      </c>
      <c r="B273" s="1853" t="s">
        <v>0</v>
      </c>
      <c r="C273" s="1853" t="s">
        <v>3056</v>
      </c>
      <c r="D273" s="1853" t="s">
        <v>3057</v>
      </c>
      <c r="E273" s="1853" t="s">
        <v>3058</v>
      </c>
      <c r="F273" s="1853" t="s">
        <v>2424</v>
      </c>
      <c r="G273" s="1853" t="s">
        <v>3059</v>
      </c>
      <c r="H273" s="1853" t="s">
        <v>1</v>
      </c>
      <c r="I273" s="1853" t="s">
        <v>641</v>
      </c>
    </row>
    <row r="274" spans="1:9" ht="11.25" customHeight="1">
      <c r="A274" s="1853" t="s">
        <v>2101</v>
      </c>
      <c r="B274" s="1853" t="s">
        <v>0</v>
      </c>
      <c r="C274" s="1853" t="s">
        <v>3060</v>
      </c>
      <c r="D274" s="1853" t="s">
        <v>3061</v>
      </c>
      <c r="E274" s="1853" t="s">
        <v>3062</v>
      </c>
      <c r="F274" s="1853" t="s">
        <v>2424</v>
      </c>
      <c r="G274" s="1853" t="s">
        <v>3063</v>
      </c>
      <c r="H274" s="1853" t="s">
        <v>1</v>
      </c>
      <c r="I274" s="1853" t="s">
        <v>641</v>
      </c>
    </row>
    <row r="275" spans="1:9" ht="11.25" customHeight="1">
      <c r="A275" s="1853" t="s">
        <v>2101</v>
      </c>
      <c r="B275" s="1853" t="s">
        <v>0</v>
      </c>
      <c r="C275" s="1853" t="s">
        <v>3064</v>
      </c>
      <c r="D275" s="1853" t="s">
        <v>3065</v>
      </c>
      <c r="E275" s="1853" t="s">
        <v>3066</v>
      </c>
      <c r="F275" s="1853" t="s">
        <v>2105</v>
      </c>
      <c r="G275" s="1853" t="s">
        <v>3067</v>
      </c>
      <c r="H275" s="1853" t="s">
        <v>1</v>
      </c>
      <c r="I275" s="1853" t="s">
        <v>641</v>
      </c>
    </row>
    <row r="276" spans="1:9" ht="11.25" customHeight="1">
      <c r="A276" s="1853" t="s">
        <v>2101</v>
      </c>
      <c r="B276" s="1853" t="s">
        <v>0</v>
      </c>
      <c r="C276" s="1853" t="s">
        <v>3068</v>
      </c>
      <c r="D276" s="1853" t="s">
        <v>3069</v>
      </c>
      <c r="E276" s="1853" t="s">
        <v>3070</v>
      </c>
      <c r="F276" s="1853" t="s">
        <v>2187</v>
      </c>
      <c r="G276" s="1853" t="s">
        <v>3071</v>
      </c>
      <c r="H276" s="1853" t="s">
        <v>1</v>
      </c>
      <c r="I276" s="1853" t="s">
        <v>641</v>
      </c>
    </row>
    <row r="277" spans="1:9" ht="11.25" customHeight="1">
      <c r="A277" s="1853" t="s">
        <v>2101</v>
      </c>
      <c r="B277" s="1853" t="s">
        <v>0</v>
      </c>
      <c r="C277" s="1853" t="s">
        <v>3072</v>
      </c>
      <c r="D277" s="1853" t="s">
        <v>3073</v>
      </c>
      <c r="E277" s="1853" t="s">
        <v>3074</v>
      </c>
      <c r="F277" s="1853" t="s">
        <v>2424</v>
      </c>
      <c r="G277" s="1853" t="s">
        <v>3075</v>
      </c>
      <c r="H277" s="1853" t="s">
        <v>1</v>
      </c>
      <c r="I277" s="1853" t="s">
        <v>641</v>
      </c>
    </row>
    <row r="278" spans="1:9" ht="11.25" customHeight="1">
      <c r="A278" s="1853" t="s">
        <v>2101</v>
      </c>
      <c r="B278" s="1853" t="s">
        <v>0</v>
      </c>
      <c r="C278" s="1853" t="s">
        <v>3076</v>
      </c>
      <c r="D278" s="1853" t="s">
        <v>3077</v>
      </c>
      <c r="E278" s="1853" t="s">
        <v>3078</v>
      </c>
      <c r="F278" s="1853" t="s">
        <v>3079</v>
      </c>
      <c r="G278" s="1853" t="s">
        <v>3080</v>
      </c>
      <c r="H278" s="1853" t="s">
        <v>1</v>
      </c>
      <c r="I278" s="1853" t="s">
        <v>641</v>
      </c>
    </row>
    <row r="279" spans="1:9" ht="11.25" customHeight="1">
      <c r="A279" s="1853" t="s">
        <v>2101</v>
      </c>
      <c r="B279" s="1853" t="s">
        <v>0</v>
      </c>
      <c r="C279" s="1853" t="s">
        <v>3081</v>
      </c>
      <c r="D279" s="1853" t="s">
        <v>3082</v>
      </c>
      <c r="E279" s="1853" t="s">
        <v>3083</v>
      </c>
      <c r="F279" s="1853" t="s">
        <v>2741</v>
      </c>
      <c r="G279" s="1853" t="s">
        <v>1</v>
      </c>
      <c r="H279" s="1853" t="s">
        <v>1</v>
      </c>
      <c r="I279" s="1853" t="s">
        <v>641</v>
      </c>
    </row>
    <row r="280" spans="1:9" ht="11.25" customHeight="1">
      <c r="A280" s="1853" t="s">
        <v>2101</v>
      </c>
      <c r="B280" s="1853" t="s">
        <v>0</v>
      </c>
      <c r="C280" s="1853" t="s">
        <v>3084</v>
      </c>
      <c r="D280" s="1853" t="s">
        <v>3085</v>
      </c>
      <c r="E280" s="1853" t="s">
        <v>3086</v>
      </c>
      <c r="F280" s="1853" t="s">
        <v>3087</v>
      </c>
      <c r="G280" s="1853" t="s">
        <v>3088</v>
      </c>
      <c r="H280" s="1853" t="s">
        <v>1</v>
      </c>
      <c r="I280" s="1853" t="s">
        <v>641</v>
      </c>
    </row>
    <row r="281" spans="1:9" ht="11.25" customHeight="1">
      <c r="A281" s="1853" t="s">
        <v>2101</v>
      </c>
      <c r="B281" s="1853" t="s">
        <v>0</v>
      </c>
      <c r="C281" s="1853" t="s">
        <v>3089</v>
      </c>
      <c r="D281" s="1853" t="s">
        <v>3090</v>
      </c>
      <c r="E281" s="1853" t="s">
        <v>3091</v>
      </c>
      <c r="F281" s="1853" t="s">
        <v>2141</v>
      </c>
      <c r="G281" s="1853" t="s">
        <v>1</v>
      </c>
      <c r="H281" s="1853" t="s">
        <v>1</v>
      </c>
      <c r="I281" s="1853" t="s">
        <v>641</v>
      </c>
    </row>
    <row r="282" spans="1:9" ht="11.25" customHeight="1">
      <c r="A282" s="1853" t="s">
        <v>2101</v>
      </c>
      <c r="B282" s="1853" t="s">
        <v>0</v>
      </c>
      <c r="C282" s="1853" t="s">
        <v>3092</v>
      </c>
      <c r="D282" s="1853" t="s">
        <v>3093</v>
      </c>
      <c r="E282" s="1853" t="s">
        <v>3094</v>
      </c>
      <c r="F282" s="1853" t="s">
        <v>2141</v>
      </c>
      <c r="G282" s="1853" t="s">
        <v>1</v>
      </c>
      <c r="H282" s="1853" t="s">
        <v>1</v>
      </c>
      <c r="I282" s="1853" t="s">
        <v>641</v>
      </c>
    </row>
    <row r="283" spans="1:9" ht="11.25" customHeight="1">
      <c r="A283" s="1853" t="s">
        <v>2101</v>
      </c>
      <c r="B283" s="1853" t="s">
        <v>0</v>
      </c>
      <c r="C283" s="1853" t="s">
        <v>3095</v>
      </c>
      <c r="D283" s="1853" t="s">
        <v>3096</v>
      </c>
      <c r="E283" s="1853" t="s">
        <v>3097</v>
      </c>
      <c r="F283" s="1853" t="s">
        <v>3098</v>
      </c>
      <c r="G283" s="1853" t="s">
        <v>3099</v>
      </c>
      <c r="H283" s="1853" t="s">
        <v>1</v>
      </c>
      <c r="I283" s="1853" t="s">
        <v>641</v>
      </c>
    </row>
    <row r="284" spans="1:9" ht="11.25" customHeight="1">
      <c r="A284" s="1853" t="s">
        <v>2101</v>
      </c>
      <c r="B284" s="1853" t="s">
        <v>0</v>
      </c>
      <c r="C284" s="1853" t="s">
        <v>3100</v>
      </c>
      <c r="D284" s="1853" t="s">
        <v>3101</v>
      </c>
      <c r="E284" s="1853" t="s">
        <v>3102</v>
      </c>
      <c r="F284" s="1853" t="s">
        <v>2141</v>
      </c>
      <c r="G284" s="1853" t="s">
        <v>1</v>
      </c>
      <c r="H284" s="1853" t="s">
        <v>1</v>
      </c>
      <c r="I284" s="1853" t="s">
        <v>641</v>
      </c>
    </row>
    <row r="285" spans="1:9" ht="11.25" customHeight="1">
      <c r="A285" s="1853" t="s">
        <v>2101</v>
      </c>
      <c r="B285" s="1853" t="s">
        <v>0</v>
      </c>
      <c r="C285" s="1853" t="s">
        <v>3103</v>
      </c>
      <c r="D285" s="1853" t="s">
        <v>3104</v>
      </c>
      <c r="E285" s="1853" t="s">
        <v>3105</v>
      </c>
      <c r="F285" s="1853" t="s">
        <v>3106</v>
      </c>
      <c r="G285" s="1853" t="s">
        <v>1</v>
      </c>
      <c r="H285" s="1853" t="s">
        <v>1</v>
      </c>
      <c r="I285" s="1853" t="s">
        <v>641</v>
      </c>
    </row>
    <row r="286" spans="1:9" ht="11.25" customHeight="1">
      <c r="A286" s="1853" t="s">
        <v>2101</v>
      </c>
      <c r="B286" s="1853" t="s">
        <v>0</v>
      </c>
      <c r="C286" s="1853" t="s">
        <v>3107</v>
      </c>
      <c r="D286" s="1853" t="s">
        <v>3108</v>
      </c>
      <c r="E286" s="1853" t="s">
        <v>3109</v>
      </c>
      <c r="F286" s="1853" t="s">
        <v>2239</v>
      </c>
      <c r="G286" s="1853" t="s">
        <v>1</v>
      </c>
      <c r="H286" s="1853" t="s">
        <v>1</v>
      </c>
      <c r="I286" s="1853" t="s">
        <v>641</v>
      </c>
    </row>
    <row r="287" spans="1:9" ht="11.25" customHeight="1">
      <c r="A287" s="1853" t="s">
        <v>2101</v>
      </c>
      <c r="B287" s="1853" t="s">
        <v>0</v>
      </c>
      <c r="C287" s="1853" t="s">
        <v>3110</v>
      </c>
      <c r="D287" s="1853" t="s">
        <v>3111</v>
      </c>
      <c r="E287" s="1853" t="s">
        <v>3112</v>
      </c>
      <c r="F287" s="1853" t="s">
        <v>2149</v>
      </c>
      <c r="G287" s="1853" t="s">
        <v>1</v>
      </c>
      <c r="H287" s="1853" t="s">
        <v>1</v>
      </c>
      <c r="I287" s="1853" t="s">
        <v>641</v>
      </c>
    </row>
    <row r="288" spans="1:9" ht="11.25" customHeight="1">
      <c r="A288" s="1853" t="s">
        <v>2101</v>
      </c>
      <c r="B288" s="1853" t="s">
        <v>0</v>
      </c>
      <c r="C288" s="1853" t="s">
        <v>3113</v>
      </c>
      <c r="D288" s="1853" t="s">
        <v>3114</v>
      </c>
      <c r="E288" s="1853" t="s">
        <v>3115</v>
      </c>
      <c r="F288" s="1853" t="s">
        <v>2528</v>
      </c>
      <c r="G288" s="1853" t="s">
        <v>1</v>
      </c>
      <c r="H288" s="1853" t="s">
        <v>1</v>
      </c>
      <c r="I288" s="1853" t="s">
        <v>641</v>
      </c>
    </row>
    <row r="289" spans="1:9" ht="11.25" customHeight="1">
      <c r="A289" s="1853" t="s">
        <v>2101</v>
      </c>
      <c r="B289" s="1853" t="s">
        <v>0</v>
      </c>
      <c r="C289" s="1853" t="s">
        <v>3116</v>
      </c>
      <c r="D289" s="1853" t="s">
        <v>3117</v>
      </c>
      <c r="E289" s="1853" t="s">
        <v>3118</v>
      </c>
      <c r="F289" s="1853" t="s">
        <v>2528</v>
      </c>
      <c r="G289" s="1853" t="s">
        <v>1</v>
      </c>
      <c r="H289" s="1853" t="s">
        <v>1</v>
      </c>
      <c r="I289" s="1853" t="s">
        <v>641</v>
      </c>
    </row>
    <row r="290" spans="1:9" ht="11.25" customHeight="1">
      <c r="A290" s="1853" t="s">
        <v>2101</v>
      </c>
      <c r="B290" s="1853" t="s">
        <v>0</v>
      </c>
      <c r="C290" s="1853" t="s">
        <v>3119</v>
      </c>
      <c r="D290" s="1853" t="s">
        <v>3120</v>
      </c>
      <c r="E290" s="1853" t="s">
        <v>3121</v>
      </c>
      <c r="F290" s="1853" t="s">
        <v>2528</v>
      </c>
      <c r="G290" s="1853" t="s">
        <v>1</v>
      </c>
      <c r="H290" s="1853" t="s">
        <v>1</v>
      </c>
      <c r="I290" s="1853" t="s">
        <v>641</v>
      </c>
    </row>
    <row r="291" spans="1:9" ht="11.25" customHeight="1">
      <c r="A291" s="1853" t="s">
        <v>2101</v>
      </c>
      <c r="B291" s="1853" t="s">
        <v>0</v>
      </c>
      <c r="C291" s="1853" t="s">
        <v>3122</v>
      </c>
      <c r="D291" s="1853" t="s">
        <v>3123</v>
      </c>
      <c r="E291" s="1853" t="s">
        <v>3124</v>
      </c>
      <c r="F291" s="1853" t="s">
        <v>3125</v>
      </c>
      <c r="G291" s="1853" t="s">
        <v>1</v>
      </c>
      <c r="H291" s="1853" t="s">
        <v>1</v>
      </c>
      <c r="I291" s="1853" t="s">
        <v>641</v>
      </c>
    </row>
    <row r="292" spans="1:9" ht="11.25" customHeight="1">
      <c r="A292" s="1853" t="s">
        <v>2101</v>
      </c>
      <c r="B292" s="1853" t="s">
        <v>0</v>
      </c>
      <c r="C292" s="1853" t="s">
        <v>3126</v>
      </c>
      <c r="D292" s="1853" t="s">
        <v>3127</v>
      </c>
      <c r="E292" s="1853" t="s">
        <v>3128</v>
      </c>
      <c r="F292" s="1853" t="s">
        <v>2424</v>
      </c>
      <c r="G292" s="1853" t="s">
        <v>1</v>
      </c>
      <c r="H292" s="1853" t="s">
        <v>1</v>
      </c>
      <c r="I292" s="1853" t="s">
        <v>641</v>
      </c>
    </row>
    <row r="293" spans="1:9" ht="11.25" customHeight="1">
      <c r="A293" s="1853" t="s">
        <v>2101</v>
      </c>
      <c r="B293" s="1853" t="s">
        <v>0</v>
      </c>
      <c r="C293" s="1853" t="s">
        <v>3129</v>
      </c>
      <c r="D293" s="1853" t="s">
        <v>3130</v>
      </c>
      <c r="E293" s="1853" t="s">
        <v>3131</v>
      </c>
      <c r="F293" s="1853" t="s">
        <v>2178</v>
      </c>
      <c r="G293" s="1853" t="s">
        <v>1</v>
      </c>
      <c r="H293" s="1853" t="s">
        <v>1</v>
      </c>
      <c r="I293" s="1853" t="s">
        <v>641</v>
      </c>
    </row>
    <row r="294" spans="1:9" ht="11.25" customHeight="1">
      <c r="A294" s="1853" t="s">
        <v>2101</v>
      </c>
      <c r="B294" s="1853" t="s">
        <v>0</v>
      </c>
      <c r="C294" s="1853" t="s">
        <v>3132</v>
      </c>
      <c r="D294" s="1853" t="s">
        <v>3133</v>
      </c>
      <c r="E294" s="1853" t="s">
        <v>3134</v>
      </c>
      <c r="F294" s="1853" t="s">
        <v>3087</v>
      </c>
      <c r="G294" s="1853" t="s">
        <v>1</v>
      </c>
      <c r="H294" s="1853" t="s">
        <v>1</v>
      </c>
      <c r="I294" s="1853" t="s">
        <v>641</v>
      </c>
    </row>
    <row r="295" spans="1:9" ht="11.25" customHeight="1">
      <c r="A295" s="1853" t="s">
        <v>2101</v>
      </c>
      <c r="B295" s="1853" t="s">
        <v>0</v>
      </c>
      <c r="C295" s="1853" t="s">
        <v>3135</v>
      </c>
      <c r="D295" s="1853" t="s">
        <v>3136</v>
      </c>
      <c r="E295" s="1853" t="s">
        <v>3137</v>
      </c>
      <c r="F295" s="1853" t="s">
        <v>2222</v>
      </c>
      <c r="G295" s="1853" t="s">
        <v>1</v>
      </c>
      <c r="H295" s="1853" t="s">
        <v>1</v>
      </c>
      <c r="I295" s="1853" t="s">
        <v>641</v>
      </c>
    </row>
    <row r="296" spans="1:9" ht="11.25" customHeight="1">
      <c r="A296" s="1853" t="s">
        <v>2101</v>
      </c>
      <c r="B296" s="1853" t="s">
        <v>0</v>
      </c>
      <c r="C296" s="1853" t="s">
        <v>3138</v>
      </c>
      <c r="D296" s="1853" t="s">
        <v>3139</v>
      </c>
      <c r="E296" s="1853" t="s">
        <v>3140</v>
      </c>
      <c r="F296" s="1853" t="s">
        <v>2141</v>
      </c>
      <c r="G296" s="1853" t="s">
        <v>1</v>
      </c>
      <c r="H296" s="1853" t="s">
        <v>1</v>
      </c>
      <c r="I296" s="1853" t="s">
        <v>641</v>
      </c>
    </row>
    <row r="297" spans="1:9" ht="11.25" customHeight="1">
      <c r="A297" s="1853" t="s">
        <v>2101</v>
      </c>
      <c r="B297" s="1853" t="s">
        <v>0</v>
      </c>
      <c r="C297" s="1853" t="s">
        <v>3141</v>
      </c>
      <c r="D297" s="1853" t="s">
        <v>3142</v>
      </c>
      <c r="E297" s="1853" t="s">
        <v>3143</v>
      </c>
      <c r="F297" s="1853" t="s">
        <v>2424</v>
      </c>
      <c r="G297" s="1853" t="s">
        <v>1</v>
      </c>
      <c r="H297" s="1853" t="s">
        <v>1</v>
      </c>
      <c r="I297" s="1853" t="s">
        <v>641</v>
      </c>
    </row>
    <row r="298" spans="1:9" ht="11.25" customHeight="1">
      <c r="A298" s="1853" t="s">
        <v>2101</v>
      </c>
      <c r="B298" s="1853" t="s">
        <v>0</v>
      </c>
      <c r="C298" s="1853" t="s">
        <v>3144</v>
      </c>
      <c r="D298" s="1853" t="s">
        <v>3145</v>
      </c>
      <c r="E298" s="1853" t="s">
        <v>3146</v>
      </c>
      <c r="F298" s="1853" t="s">
        <v>2105</v>
      </c>
      <c r="G298" s="1853" t="s">
        <v>1</v>
      </c>
      <c r="H298" s="1853" t="s">
        <v>1</v>
      </c>
      <c r="I298" s="1853" t="s">
        <v>641</v>
      </c>
    </row>
    <row r="299" spans="1:9" ht="11.25" customHeight="1">
      <c r="A299" s="1853" t="s">
        <v>2101</v>
      </c>
      <c r="B299" s="1853" t="s">
        <v>0</v>
      </c>
      <c r="C299" s="1853" t="s">
        <v>3147</v>
      </c>
      <c r="D299" s="1853" t="s">
        <v>3148</v>
      </c>
      <c r="E299" s="1853" t="s">
        <v>3149</v>
      </c>
      <c r="F299" s="1853" t="s">
        <v>2105</v>
      </c>
      <c r="G299" s="1853" t="s">
        <v>1</v>
      </c>
      <c r="H299" s="1853" t="s">
        <v>1</v>
      </c>
      <c r="I299" s="1853" t="s">
        <v>641</v>
      </c>
    </row>
    <row r="300" spans="1:9" ht="11.25" customHeight="1">
      <c r="A300" s="1853" t="s">
        <v>2101</v>
      </c>
      <c r="B300" s="1853" t="s">
        <v>0</v>
      </c>
      <c r="C300" s="1853" t="s">
        <v>3150</v>
      </c>
      <c r="D300" s="1853" t="s">
        <v>3151</v>
      </c>
      <c r="E300" s="1853" t="s">
        <v>3152</v>
      </c>
      <c r="F300" s="1853" t="s">
        <v>2105</v>
      </c>
      <c r="G300" s="1853" t="s">
        <v>1</v>
      </c>
      <c r="H300" s="1853" t="s">
        <v>1</v>
      </c>
      <c r="I300" s="1853" t="s">
        <v>641</v>
      </c>
    </row>
    <row r="301" spans="1:9" ht="11.25" customHeight="1">
      <c r="A301" s="1853" t="s">
        <v>2101</v>
      </c>
      <c r="B301" s="1853" t="s">
        <v>0</v>
      </c>
      <c r="C301" s="1853" t="s">
        <v>3153</v>
      </c>
      <c r="D301" s="1853" t="s">
        <v>3154</v>
      </c>
      <c r="E301" s="1853" t="s">
        <v>3155</v>
      </c>
      <c r="F301" s="1853" t="s">
        <v>2222</v>
      </c>
      <c r="G301" s="1853" t="s">
        <v>1</v>
      </c>
      <c r="H301" s="1853" t="s">
        <v>1</v>
      </c>
      <c r="I301" s="1853" t="s">
        <v>641</v>
      </c>
    </row>
    <row r="302" spans="1:9" ht="11.25" customHeight="1">
      <c r="A302" s="1853" t="s">
        <v>2101</v>
      </c>
      <c r="B302" s="1853" t="s">
        <v>0</v>
      </c>
      <c r="C302" s="1853" t="s">
        <v>3156</v>
      </c>
      <c r="D302" s="1853" t="s">
        <v>3157</v>
      </c>
      <c r="E302" s="1853" t="s">
        <v>3158</v>
      </c>
      <c r="F302" s="1853" t="s">
        <v>3159</v>
      </c>
      <c r="G302" s="1853" t="s">
        <v>3160</v>
      </c>
      <c r="H302" s="1853" t="s">
        <v>1</v>
      </c>
      <c r="I302" s="1853" t="s">
        <v>641</v>
      </c>
    </row>
    <row r="303" spans="1:9" ht="11.25" customHeight="1">
      <c r="A303" s="1853" t="s">
        <v>2101</v>
      </c>
      <c r="B303" s="1853" t="s">
        <v>0</v>
      </c>
      <c r="C303" s="1853" t="s">
        <v>3161</v>
      </c>
      <c r="D303" s="1853" t="s">
        <v>3162</v>
      </c>
      <c r="E303" s="1853" t="s">
        <v>3163</v>
      </c>
      <c r="F303" s="1853" t="s">
        <v>2528</v>
      </c>
      <c r="G303" s="1853" t="s">
        <v>1</v>
      </c>
      <c r="H303" s="1853" t="s">
        <v>1</v>
      </c>
      <c r="I303" s="1853" t="s">
        <v>641</v>
      </c>
    </row>
    <row r="304" spans="1:9" ht="11.25" customHeight="1">
      <c r="A304" s="1853" t="s">
        <v>2101</v>
      </c>
      <c r="B304" s="1853" t="s">
        <v>0</v>
      </c>
      <c r="C304" s="1853" t="s">
        <v>3164</v>
      </c>
      <c r="D304" s="1853" t="s">
        <v>3165</v>
      </c>
      <c r="E304" s="1853" t="s">
        <v>3166</v>
      </c>
      <c r="F304" s="1853" t="s">
        <v>2178</v>
      </c>
      <c r="G304" s="1853" t="s">
        <v>1</v>
      </c>
      <c r="H304" s="1853" t="s">
        <v>1</v>
      </c>
      <c r="I304" s="1853" t="s">
        <v>641</v>
      </c>
    </row>
    <row r="305" spans="1:9" ht="11.25" customHeight="1">
      <c r="A305" s="1853" t="s">
        <v>2101</v>
      </c>
      <c r="B305" s="1853" t="s">
        <v>0</v>
      </c>
      <c r="C305" s="1853" t="s">
        <v>3167</v>
      </c>
      <c r="D305" s="1853" t="s">
        <v>3168</v>
      </c>
      <c r="E305" s="1853" t="s">
        <v>3169</v>
      </c>
      <c r="F305" s="1853" t="s">
        <v>2105</v>
      </c>
      <c r="G305" s="1853" t="s">
        <v>1</v>
      </c>
      <c r="H305" s="1853" t="s">
        <v>1</v>
      </c>
      <c r="I305" s="1853" t="s">
        <v>641</v>
      </c>
    </row>
    <row r="306" spans="1:9" ht="11.25" customHeight="1">
      <c r="A306" s="1853" t="s">
        <v>2101</v>
      </c>
      <c r="B306" s="1853" t="s">
        <v>0</v>
      </c>
      <c r="C306" s="1853" t="s">
        <v>3170</v>
      </c>
      <c r="D306" s="1853" t="s">
        <v>3171</v>
      </c>
      <c r="E306" s="1853" t="s">
        <v>3172</v>
      </c>
      <c r="F306" s="1853" t="s">
        <v>3173</v>
      </c>
      <c r="G306" s="1853" t="s">
        <v>1</v>
      </c>
      <c r="H306" s="1853" t="s">
        <v>1</v>
      </c>
      <c r="I306" s="1853" t="s">
        <v>641</v>
      </c>
    </row>
    <row r="307" spans="1:9" ht="11.25" customHeight="1">
      <c r="A307" s="1853" t="s">
        <v>2101</v>
      </c>
      <c r="B307" s="1853" t="s">
        <v>0</v>
      </c>
      <c r="C307" s="1853" t="s">
        <v>3174</v>
      </c>
      <c r="D307" s="1853" t="s">
        <v>3175</v>
      </c>
      <c r="E307" s="1853" t="s">
        <v>3176</v>
      </c>
      <c r="F307" s="1853" t="s">
        <v>2149</v>
      </c>
      <c r="G307" s="1853" t="s">
        <v>1</v>
      </c>
      <c r="H307" s="1853" t="s">
        <v>1</v>
      </c>
      <c r="I307" s="1853" t="s">
        <v>641</v>
      </c>
    </row>
    <row r="308" spans="1:9" ht="11.25" customHeight="1">
      <c r="A308" s="1853" t="s">
        <v>2101</v>
      </c>
      <c r="B308" s="1853" t="s">
        <v>0</v>
      </c>
      <c r="C308" s="1853" t="s">
        <v>3177</v>
      </c>
      <c r="D308" s="1853" t="s">
        <v>3178</v>
      </c>
      <c r="E308" s="1853" t="s">
        <v>3179</v>
      </c>
      <c r="F308" s="1853" t="s">
        <v>3180</v>
      </c>
      <c r="G308" s="1853" t="s">
        <v>1</v>
      </c>
      <c r="H308" s="1853" t="s">
        <v>1</v>
      </c>
      <c r="I308" s="1853" t="s">
        <v>641</v>
      </c>
    </row>
    <row r="309" spans="1:9" ht="11.25" customHeight="1">
      <c r="A309" s="1853" t="s">
        <v>2101</v>
      </c>
      <c r="B309" s="1853" t="s">
        <v>0</v>
      </c>
      <c r="C309" s="1853" t="s">
        <v>3181</v>
      </c>
      <c r="D309" s="1853" t="s">
        <v>3182</v>
      </c>
      <c r="E309" s="1853" t="s">
        <v>3183</v>
      </c>
      <c r="F309" s="1853" t="s">
        <v>2149</v>
      </c>
      <c r="G309" s="1853" t="s">
        <v>1</v>
      </c>
      <c r="H309" s="1853" t="s">
        <v>1</v>
      </c>
      <c r="I309" s="1853" t="s">
        <v>641</v>
      </c>
    </row>
    <row r="310" spans="1:9" ht="11.25" customHeight="1">
      <c r="A310" s="1853" t="s">
        <v>2101</v>
      </c>
      <c r="B310" s="1853" t="s">
        <v>0</v>
      </c>
      <c r="C310" s="1853" t="s">
        <v>3184</v>
      </c>
      <c r="D310" s="1853" t="s">
        <v>3185</v>
      </c>
      <c r="E310" s="1853" t="s">
        <v>3186</v>
      </c>
      <c r="F310" s="1853" t="s">
        <v>2149</v>
      </c>
      <c r="G310" s="1853" t="s">
        <v>1</v>
      </c>
      <c r="H310" s="1853" t="s">
        <v>3187</v>
      </c>
      <c r="I310" s="1853" t="s">
        <v>641</v>
      </c>
    </row>
    <row r="311" spans="1:9" ht="11.25" customHeight="1">
      <c r="A311" s="1853" t="s">
        <v>2101</v>
      </c>
      <c r="B311" s="1853" t="s">
        <v>0</v>
      </c>
      <c r="C311" s="1853" t="s">
        <v>3188</v>
      </c>
      <c r="D311" s="1853" t="s">
        <v>3189</v>
      </c>
      <c r="E311" s="1853" t="s">
        <v>3190</v>
      </c>
      <c r="F311" s="1853" t="s">
        <v>2329</v>
      </c>
      <c r="G311" s="1853" t="s">
        <v>1</v>
      </c>
      <c r="H311" s="1853" t="s">
        <v>1</v>
      </c>
      <c r="I311" s="1853" t="s">
        <v>641</v>
      </c>
    </row>
    <row r="312" spans="1:9" ht="11.25" customHeight="1">
      <c r="A312" s="1853" t="s">
        <v>2101</v>
      </c>
      <c r="B312" s="1853" t="s">
        <v>0</v>
      </c>
      <c r="C312" s="1853" t="s">
        <v>3191</v>
      </c>
      <c r="D312" s="1853" t="s">
        <v>3192</v>
      </c>
      <c r="E312" s="1853" t="s">
        <v>3193</v>
      </c>
      <c r="F312" s="1853" t="s">
        <v>2230</v>
      </c>
      <c r="G312" s="1853" t="s">
        <v>1</v>
      </c>
      <c r="H312" s="1853" t="s">
        <v>1</v>
      </c>
      <c r="I312" s="1853" t="s">
        <v>641</v>
      </c>
    </row>
    <row r="313" spans="1:9" ht="11.25" customHeight="1">
      <c r="A313" s="1853" t="s">
        <v>2101</v>
      </c>
      <c r="B313" s="1853" t="s">
        <v>0</v>
      </c>
      <c r="C313" s="1853" t="s">
        <v>3194</v>
      </c>
      <c r="D313" s="1853" t="s">
        <v>3195</v>
      </c>
      <c r="E313" s="1853" t="s">
        <v>3196</v>
      </c>
      <c r="F313" s="1853" t="s">
        <v>2222</v>
      </c>
      <c r="G313" s="1853" t="s">
        <v>1</v>
      </c>
      <c r="H313" s="1853" t="s">
        <v>1</v>
      </c>
      <c r="I313" s="1853" t="s">
        <v>641</v>
      </c>
    </row>
    <row r="314" spans="1:9" ht="11.25" customHeight="1">
      <c r="A314" s="1853" t="s">
        <v>2101</v>
      </c>
      <c r="B314" s="1853" t="s">
        <v>0</v>
      </c>
      <c r="C314" s="1853" t="s">
        <v>3197</v>
      </c>
      <c r="D314" s="1853" t="s">
        <v>3198</v>
      </c>
      <c r="E314" s="1853" t="s">
        <v>3199</v>
      </c>
      <c r="F314" s="1853" t="s">
        <v>2230</v>
      </c>
      <c r="G314" s="1853" t="s">
        <v>1</v>
      </c>
      <c r="H314" s="1853" t="s">
        <v>1</v>
      </c>
      <c r="I314" s="1853" t="s">
        <v>641</v>
      </c>
    </row>
    <row r="315" spans="1:9" ht="11.25" customHeight="1">
      <c r="A315" s="1853" t="s">
        <v>2101</v>
      </c>
      <c r="B315" s="1853" t="s">
        <v>0</v>
      </c>
      <c r="C315" s="1853" t="s">
        <v>3200</v>
      </c>
      <c r="D315" s="1853" t="s">
        <v>3201</v>
      </c>
      <c r="E315" s="1853" t="s">
        <v>3202</v>
      </c>
      <c r="F315" s="1853" t="s">
        <v>2528</v>
      </c>
      <c r="G315" s="1853" t="s">
        <v>1</v>
      </c>
      <c r="H315" s="1853" t="s">
        <v>1</v>
      </c>
      <c r="I315" s="1853" t="s">
        <v>641</v>
      </c>
    </row>
    <row r="316" spans="1:9" ht="11.25" customHeight="1">
      <c r="A316" s="1853" t="s">
        <v>2101</v>
      </c>
      <c r="B316" s="1853" t="s">
        <v>0</v>
      </c>
      <c r="C316" s="1853" t="s">
        <v>3203</v>
      </c>
      <c r="D316" s="1853" t="s">
        <v>3204</v>
      </c>
      <c r="E316" s="1853" t="s">
        <v>3205</v>
      </c>
      <c r="F316" s="1853" t="s">
        <v>2329</v>
      </c>
      <c r="G316" s="1853" t="s">
        <v>1</v>
      </c>
      <c r="H316" s="1853" t="s">
        <v>1</v>
      </c>
      <c r="I316" s="1853" t="s">
        <v>641</v>
      </c>
    </row>
    <row r="317" spans="1:9" ht="11.25" customHeight="1">
      <c r="A317" s="1853" t="s">
        <v>2101</v>
      </c>
      <c r="B317" s="1853" t="s">
        <v>0</v>
      </c>
      <c r="C317" s="1853" t="s">
        <v>3206</v>
      </c>
      <c r="D317" s="1853" t="s">
        <v>3207</v>
      </c>
      <c r="E317" s="1853" t="s">
        <v>3208</v>
      </c>
      <c r="F317" s="1853" t="s">
        <v>2424</v>
      </c>
      <c r="G317" s="1853" t="s">
        <v>1</v>
      </c>
      <c r="H317" s="1853" t="s">
        <v>1</v>
      </c>
      <c r="I317" s="1853" t="s">
        <v>641</v>
      </c>
    </row>
    <row r="318" spans="1:9" ht="11.25" customHeight="1">
      <c r="A318" s="1853" t="s">
        <v>2101</v>
      </c>
      <c r="B318" s="1853" t="s">
        <v>0</v>
      </c>
      <c r="C318" s="1853" t="s">
        <v>3209</v>
      </c>
      <c r="D318" s="1853" t="s">
        <v>3210</v>
      </c>
      <c r="E318" s="1853" t="s">
        <v>3211</v>
      </c>
      <c r="F318" s="1853" t="s">
        <v>2105</v>
      </c>
      <c r="G318" s="1853" t="s">
        <v>1</v>
      </c>
      <c r="H318" s="1853" t="s">
        <v>1</v>
      </c>
      <c r="I318" s="1853" t="s">
        <v>641</v>
      </c>
    </row>
    <row r="319" spans="1:9" ht="11.25" customHeight="1">
      <c r="A319" s="1853" t="s">
        <v>2101</v>
      </c>
      <c r="B319" s="1853" t="s">
        <v>0</v>
      </c>
      <c r="C319" s="1853" t="s">
        <v>3212</v>
      </c>
      <c r="D319" s="1853" t="s">
        <v>3213</v>
      </c>
      <c r="E319" s="1853" t="s">
        <v>3214</v>
      </c>
      <c r="F319" s="1853" t="s">
        <v>2222</v>
      </c>
      <c r="G319" s="1853" t="s">
        <v>1</v>
      </c>
      <c r="H319" s="1853" t="s">
        <v>1</v>
      </c>
      <c r="I319" s="1853" t="s">
        <v>641</v>
      </c>
    </row>
    <row r="320" spans="1:9" ht="11.25" customHeight="1">
      <c r="A320" s="1853" t="s">
        <v>2101</v>
      </c>
      <c r="B320" s="1853" t="s">
        <v>0</v>
      </c>
      <c r="C320" s="1853" t="s">
        <v>3215</v>
      </c>
      <c r="D320" s="1853" t="s">
        <v>3216</v>
      </c>
      <c r="E320" s="1853" t="s">
        <v>3217</v>
      </c>
      <c r="F320" s="1853" t="s">
        <v>2159</v>
      </c>
      <c r="G320" s="1853" t="s">
        <v>1</v>
      </c>
      <c r="H320" s="1853" t="s">
        <v>1</v>
      </c>
      <c r="I320" s="1853" t="s">
        <v>641</v>
      </c>
    </row>
    <row r="321" spans="1:9" ht="11.25" customHeight="1">
      <c r="A321" s="1853" t="s">
        <v>2101</v>
      </c>
      <c r="B321" s="1853" t="s">
        <v>0</v>
      </c>
      <c r="C321" s="1853" t="s">
        <v>3218</v>
      </c>
      <c r="D321" s="1853" t="s">
        <v>3219</v>
      </c>
      <c r="E321" s="1853" t="s">
        <v>3220</v>
      </c>
      <c r="F321" s="1853" t="s">
        <v>2230</v>
      </c>
      <c r="G321" s="1853" t="s">
        <v>1</v>
      </c>
      <c r="H321" s="1853" t="s">
        <v>1</v>
      </c>
      <c r="I321" s="1853" t="s">
        <v>641</v>
      </c>
    </row>
    <row r="322" spans="1:9" ht="11.25" customHeight="1">
      <c r="A322" s="1853" t="s">
        <v>2101</v>
      </c>
      <c r="B322" s="1853" t="s">
        <v>0</v>
      </c>
      <c r="C322" s="1853" t="s">
        <v>3221</v>
      </c>
      <c r="D322" s="1853" t="s">
        <v>3222</v>
      </c>
      <c r="E322" s="1853" t="s">
        <v>3223</v>
      </c>
      <c r="F322" s="1853" t="s">
        <v>2528</v>
      </c>
      <c r="G322" s="1853" t="s">
        <v>1</v>
      </c>
      <c r="H322" s="1853" t="s">
        <v>3224</v>
      </c>
      <c r="I322" s="1853" t="s">
        <v>641</v>
      </c>
    </row>
    <row r="323" spans="1:9" ht="11.25" customHeight="1">
      <c r="A323" s="1853" t="s">
        <v>2101</v>
      </c>
      <c r="B323" s="1853" t="s">
        <v>0</v>
      </c>
      <c r="C323" s="1853" t="s">
        <v>3225</v>
      </c>
      <c r="D323" s="1853" t="s">
        <v>3226</v>
      </c>
      <c r="E323" s="1853" t="s">
        <v>3227</v>
      </c>
      <c r="F323" s="1853" t="s">
        <v>2329</v>
      </c>
      <c r="G323" s="1853" t="s">
        <v>1</v>
      </c>
      <c r="H323" s="1853" t="s">
        <v>1</v>
      </c>
      <c r="I323" s="1853" t="s">
        <v>641</v>
      </c>
    </row>
    <row r="324" spans="1:9" ht="11.25" customHeight="1">
      <c r="A324" s="1853" t="s">
        <v>2101</v>
      </c>
      <c r="B324" s="1853" t="s">
        <v>0</v>
      </c>
      <c r="C324" s="1853" t="s">
        <v>3228</v>
      </c>
      <c r="D324" s="1853" t="s">
        <v>3229</v>
      </c>
      <c r="E324" s="1853" t="s">
        <v>3230</v>
      </c>
      <c r="F324" s="1853" t="s">
        <v>2149</v>
      </c>
      <c r="G324" s="1853" t="s">
        <v>3231</v>
      </c>
      <c r="H324" s="1853" t="s">
        <v>1</v>
      </c>
      <c r="I324" s="1853" t="s">
        <v>641</v>
      </c>
    </row>
    <row r="325" spans="1:9" ht="11.25" customHeight="1">
      <c r="A325" s="1853" t="s">
        <v>2101</v>
      </c>
      <c r="B325" s="1853" t="s">
        <v>0</v>
      </c>
      <c r="C325" s="1853" t="s">
        <v>3232</v>
      </c>
      <c r="D325" s="1853" t="s">
        <v>3233</v>
      </c>
      <c r="E325" s="1853" t="s">
        <v>3234</v>
      </c>
      <c r="F325" s="1853" t="s">
        <v>2416</v>
      </c>
      <c r="G325" s="1853" t="s">
        <v>1</v>
      </c>
      <c r="H325" s="1853" t="s">
        <v>1</v>
      </c>
      <c r="I325" s="1853" t="s">
        <v>641</v>
      </c>
    </row>
    <row r="326" spans="1:9" ht="11.25" customHeight="1">
      <c r="A326" s="1853" t="s">
        <v>2101</v>
      </c>
      <c r="B326" s="1853" t="s">
        <v>0</v>
      </c>
      <c r="C326" s="1853" t="s">
        <v>3235</v>
      </c>
      <c r="D326" s="1853" t="s">
        <v>3236</v>
      </c>
      <c r="E326" s="1853" t="s">
        <v>3237</v>
      </c>
      <c r="F326" s="1853" t="s">
        <v>2528</v>
      </c>
      <c r="G326" s="1853" t="s">
        <v>1</v>
      </c>
      <c r="H326" s="1853" t="s">
        <v>1</v>
      </c>
      <c r="I326" s="1853" t="s">
        <v>641</v>
      </c>
    </row>
    <row r="327" spans="1:9" ht="11.25" customHeight="1">
      <c r="A327" s="1853" t="s">
        <v>2101</v>
      </c>
      <c r="B327" s="1853" t="s">
        <v>0</v>
      </c>
      <c r="C327" s="1853" t="s">
        <v>3238</v>
      </c>
      <c r="D327" s="1853" t="s">
        <v>3239</v>
      </c>
      <c r="E327" s="1853" t="s">
        <v>3240</v>
      </c>
      <c r="F327" s="1853" t="s">
        <v>2105</v>
      </c>
      <c r="G327" s="1853" t="s">
        <v>1</v>
      </c>
      <c r="H327" s="1853" t="s">
        <v>1</v>
      </c>
      <c r="I327" s="1853" t="s">
        <v>641</v>
      </c>
    </row>
    <row r="328" spans="1:9" ht="11.25" customHeight="1">
      <c r="A328" s="1853" t="s">
        <v>2101</v>
      </c>
      <c r="B328" s="1853" t="s">
        <v>0</v>
      </c>
      <c r="C328" s="1853" t="s">
        <v>3241</v>
      </c>
      <c r="D328" s="1853" t="s">
        <v>3242</v>
      </c>
      <c r="E328" s="1853" t="s">
        <v>3243</v>
      </c>
      <c r="F328" s="1853" t="s">
        <v>2105</v>
      </c>
      <c r="G328" s="1853" t="s">
        <v>1</v>
      </c>
      <c r="H328" s="1853" t="s">
        <v>1</v>
      </c>
      <c r="I328" s="1853" t="s">
        <v>641</v>
      </c>
    </row>
    <row r="329" spans="1:9" ht="11.25" customHeight="1">
      <c r="A329" s="1853" t="s">
        <v>2101</v>
      </c>
      <c r="B329" s="1853" t="s">
        <v>0</v>
      </c>
      <c r="C329" s="1853" t="s">
        <v>3244</v>
      </c>
      <c r="D329" s="1853" t="s">
        <v>3245</v>
      </c>
      <c r="E329" s="1853" t="s">
        <v>3246</v>
      </c>
      <c r="F329" s="1853" t="s">
        <v>2416</v>
      </c>
      <c r="G329" s="1853" t="s">
        <v>1</v>
      </c>
      <c r="H329" s="1853" t="s">
        <v>1</v>
      </c>
      <c r="I329" s="1853" t="s">
        <v>641</v>
      </c>
    </row>
    <row r="330" spans="1:9" ht="11.25" customHeight="1">
      <c r="A330" s="1853" t="s">
        <v>2101</v>
      </c>
      <c r="B330" s="1853" t="s">
        <v>0</v>
      </c>
      <c r="C330" s="1853" t="s">
        <v>3247</v>
      </c>
      <c r="D330" s="1853" t="s">
        <v>3248</v>
      </c>
      <c r="E330" s="1853" t="s">
        <v>3249</v>
      </c>
      <c r="F330" s="1853" t="s">
        <v>12</v>
      </c>
      <c r="G330" s="1853" t="s">
        <v>1</v>
      </c>
      <c r="H330" s="1853" t="s">
        <v>1</v>
      </c>
      <c r="I330" s="1853" t="s">
        <v>641</v>
      </c>
    </row>
    <row r="331" spans="1:9" ht="11.25" customHeight="1">
      <c r="A331" s="1853" t="s">
        <v>2101</v>
      </c>
      <c r="B331" s="1853" t="s">
        <v>0</v>
      </c>
      <c r="C331" s="1853" t="s">
        <v>3250</v>
      </c>
      <c r="D331" s="1853" t="s">
        <v>3251</v>
      </c>
      <c r="E331" s="1853" t="s">
        <v>3252</v>
      </c>
      <c r="F331" s="1853" t="s">
        <v>2416</v>
      </c>
      <c r="G331" s="1853" t="s">
        <v>1</v>
      </c>
      <c r="H331" s="1853" t="s">
        <v>1</v>
      </c>
      <c r="I331" s="1853" t="s">
        <v>641</v>
      </c>
    </row>
    <row r="332" spans="1:9" ht="11.25" customHeight="1">
      <c r="A332" s="1853" t="s">
        <v>2101</v>
      </c>
      <c r="B332" s="1853" t="s">
        <v>0</v>
      </c>
      <c r="C332" s="1853" t="s">
        <v>3253</v>
      </c>
      <c r="D332" s="1853" t="s">
        <v>3254</v>
      </c>
      <c r="E332" s="1853" t="s">
        <v>3255</v>
      </c>
      <c r="F332" s="1853" t="s">
        <v>2141</v>
      </c>
      <c r="G332" s="1853" t="s">
        <v>1</v>
      </c>
      <c r="H332" s="1853" t="s">
        <v>1</v>
      </c>
      <c r="I332" s="1853" t="s">
        <v>641</v>
      </c>
    </row>
    <row r="333" spans="1:9" ht="11.25" customHeight="1">
      <c r="A333" s="1853" t="s">
        <v>2101</v>
      </c>
      <c r="B333" s="1853" t="s">
        <v>0</v>
      </c>
      <c r="C333" s="1853" t="s">
        <v>3256</v>
      </c>
      <c r="D333" s="1853" t="s">
        <v>3257</v>
      </c>
      <c r="E333" s="1853" t="s">
        <v>3258</v>
      </c>
      <c r="F333" s="1853" t="s">
        <v>2222</v>
      </c>
      <c r="G333" s="1853" t="s">
        <v>1</v>
      </c>
      <c r="H333" s="1853" t="s">
        <v>1</v>
      </c>
      <c r="I333" s="1853" t="s">
        <v>641</v>
      </c>
    </row>
    <row r="334" spans="1:9" ht="11.25" customHeight="1">
      <c r="A334" s="1853" t="s">
        <v>2101</v>
      </c>
      <c r="B334" s="1853" t="s">
        <v>0</v>
      </c>
      <c r="C334" s="1853" t="s">
        <v>3259</v>
      </c>
      <c r="D334" s="1853" t="s">
        <v>3260</v>
      </c>
      <c r="E334" s="1853" t="s">
        <v>3261</v>
      </c>
      <c r="F334" s="1853" t="s">
        <v>2105</v>
      </c>
      <c r="G334" s="1853" t="s">
        <v>1</v>
      </c>
      <c r="H334" s="1853" t="s">
        <v>1</v>
      </c>
      <c r="I334" s="1853" t="s">
        <v>641</v>
      </c>
    </row>
    <row r="335" spans="1:9" ht="11.25" customHeight="1">
      <c r="A335" s="1853" t="s">
        <v>2101</v>
      </c>
      <c r="B335" s="1853" t="s">
        <v>0</v>
      </c>
      <c r="C335" s="1853" t="s">
        <v>3262</v>
      </c>
      <c r="D335" s="1853" t="s">
        <v>3263</v>
      </c>
      <c r="E335" s="1853" t="s">
        <v>3264</v>
      </c>
      <c r="F335" s="1853" t="s">
        <v>2230</v>
      </c>
      <c r="G335" s="1853" t="s">
        <v>1</v>
      </c>
      <c r="H335" s="1853" t="s">
        <v>1</v>
      </c>
      <c r="I335" s="1853" t="s">
        <v>641</v>
      </c>
    </row>
    <row r="336" spans="1:9" ht="11.25" customHeight="1">
      <c r="A336" s="1853" t="s">
        <v>2101</v>
      </c>
      <c r="B336" s="1853" t="s">
        <v>0</v>
      </c>
      <c r="C336" s="1853" t="s">
        <v>3265</v>
      </c>
      <c r="D336" s="1853" t="s">
        <v>3266</v>
      </c>
      <c r="E336" s="1853" t="s">
        <v>3267</v>
      </c>
      <c r="F336" s="1853" t="s">
        <v>2178</v>
      </c>
      <c r="G336" s="1853" t="s">
        <v>1</v>
      </c>
      <c r="H336" s="1853" t="s">
        <v>1</v>
      </c>
      <c r="I336" s="1853" t="s">
        <v>641</v>
      </c>
    </row>
    <row r="337" spans="1:9" ht="11.25" customHeight="1">
      <c r="A337" s="1853" t="s">
        <v>2101</v>
      </c>
      <c r="B337" s="1853" t="s">
        <v>0</v>
      </c>
      <c r="C337" s="1853" t="s">
        <v>3268</v>
      </c>
      <c r="D337" s="1853" t="s">
        <v>3269</v>
      </c>
      <c r="E337" s="1853" t="s">
        <v>3270</v>
      </c>
      <c r="F337" s="1853" t="s">
        <v>2230</v>
      </c>
      <c r="G337" s="1853" t="s">
        <v>1</v>
      </c>
      <c r="H337" s="1853" t="s">
        <v>1</v>
      </c>
      <c r="I337" s="1853" t="s">
        <v>641</v>
      </c>
    </row>
    <row r="338" spans="1:9" ht="11.25" customHeight="1">
      <c r="A338" s="1853" t="s">
        <v>2101</v>
      </c>
      <c r="B338" s="1853" t="s">
        <v>0</v>
      </c>
      <c r="C338" s="1853" t="s">
        <v>3271</v>
      </c>
      <c r="D338" s="1853" t="s">
        <v>3272</v>
      </c>
      <c r="E338" s="1853" t="s">
        <v>3273</v>
      </c>
      <c r="F338" s="1853" t="s">
        <v>2149</v>
      </c>
      <c r="G338" s="1853" t="s">
        <v>1</v>
      </c>
      <c r="H338" s="1853" t="s">
        <v>1</v>
      </c>
      <c r="I338" s="1853" t="s">
        <v>641</v>
      </c>
    </row>
    <row r="339" spans="1:9" ht="11.25" customHeight="1">
      <c r="A339" s="1853" t="s">
        <v>2101</v>
      </c>
      <c r="B339" s="1853" t="s">
        <v>0</v>
      </c>
      <c r="C339" s="1853" t="s">
        <v>3274</v>
      </c>
      <c r="D339" s="1853" t="s">
        <v>3275</v>
      </c>
      <c r="E339" s="1853" t="s">
        <v>3276</v>
      </c>
      <c r="F339" s="1853" t="s">
        <v>2178</v>
      </c>
      <c r="G339" s="1853" t="s">
        <v>1</v>
      </c>
      <c r="H339" s="1853" t="s">
        <v>1</v>
      </c>
      <c r="I339" s="1853" t="s">
        <v>641</v>
      </c>
    </row>
    <row r="340" spans="1:9" ht="11.25" customHeight="1">
      <c r="A340" s="1853" t="s">
        <v>2101</v>
      </c>
      <c r="B340" s="1853" t="s">
        <v>0</v>
      </c>
      <c r="C340" s="1853" t="s">
        <v>3277</v>
      </c>
      <c r="D340" s="1853" t="s">
        <v>3278</v>
      </c>
      <c r="E340" s="1853" t="s">
        <v>3279</v>
      </c>
      <c r="F340" s="1853" t="s">
        <v>2230</v>
      </c>
      <c r="G340" s="1853" t="s">
        <v>1</v>
      </c>
      <c r="H340" s="1853" t="s">
        <v>1</v>
      </c>
      <c r="I340" s="1853" t="s">
        <v>641</v>
      </c>
    </row>
    <row r="341" spans="1:9" ht="11.25" customHeight="1">
      <c r="A341" s="1853" t="s">
        <v>2101</v>
      </c>
      <c r="B341" s="1853" t="s">
        <v>0</v>
      </c>
      <c r="C341" s="1853" t="s">
        <v>3280</v>
      </c>
      <c r="D341" s="1853" t="s">
        <v>3281</v>
      </c>
      <c r="E341" s="1853" t="s">
        <v>3282</v>
      </c>
      <c r="F341" s="1853" t="s">
        <v>3283</v>
      </c>
      <c r="G341" s="1853" t="s">
        <v>1</v>
      </c>
      <c r="H341" s="1853" t="s">
        <v>1</v>
      </c>
      <c r="I341" s="1853" t="s">
        <v>641</v>
      </c>
    </row>
    <row r="342" spans="1:9" ht="11.25" customHeight="1">
      <c r="A342" s="1853" t="s">
        <v>2101</v>
      </c>
      <c r="B342" s="1853" t="s">
        <v>0</v>
      </c>
      <c r="C342" s="1853" t="s">
        <v>3284</v>
      </c>
      <c r="D342" s="1853" t="s">
        <v>3285</v>
      </c>
      <c r="E342" s="1853" t="s">
        <v>3286</v>
      </c>
      <c r="F342" s="1853" t="s">
        <v>3287</v>
      </c>
      <c r="G342" s="1853" t="s">
        <v>1</v>
      </c>
      <c r="H342" s="1853" t="s">
        <v>1</v>
      </c>
      <c r="I342" s="1853" t="s">
        <v>641</v>
      </c>
    </row>
    <row r="343" spans="1:9" ht="11.25" customHeight="1">
      <c r="A343" s="1853" t="s">
        <v>2101</v>
      </c>
      <c r="B343" s="1853" t="s">
        <v>0</v>
      </c>
      <c r="C343" s="1853" t="s">
        <v>3288</v>
      </c>
      <c r="D343" s="1853" t="s">
        <v>3289</v>
      </c>
      <c r="E343" s="1853" t="s">
        <v>3290</v>
      </c>
      <c r="F343" s="1853" t="s">
        <v>2528</v>
      </c>
      <c r="G343" s="1853" t="s">
        <v>1</v>
      </c>
      <c r="H343" s="1853" t="s">
        <v>1</v>
      </c>
      <c r="I343" s="1853" t="s">
        <v>641</v>
      </c>
    </row>
    <row r="344" spans="1:9" ht="11.25" customHeight="1">
      <c r="A344" s="1853" t="s">
        <v>2101</v>
      </c>
      <c r="B344" s="1853" t="s">
        <v>0</v>
      </c>
      <c r="C344" s="1853" t="s">
        <v>3291</v>
      </c>
      <c r="D344" s="1853" t="s">
        <v>3292</v>
      </c>
      <c r="E344" s="1853" t="s">
        <v>3293</v>
      </c>
      <c r="F344" s="1853" t="s">
        <v>3294</v>
      </c>
      <c r="G344" s="1853" t="s">
        <v>1</v>
      </c>
      <c r="H344" s="1853" t="s">
        <v>1</v>
      </c>
      <c r="I344" s="1853" t="s">
        <v>641</v>
      </c>
    </row>
    <row r="345" spans="1:9" ht="11.25" customHeight="1">
      <c r="A345" s="1853" t="s">
        <v>2101</v>
      </c>
      <c r="B345" s="1853" t="s">
        <v>0</v>
      </c>
      <c r="C345" s="1853" t="s">
        <v>3295</v>
      </c>
      <c r="D345" s="1853" t="s">
        <v>3296</v>
      </c>
      <c r="E345" s="1853" t="s">
        <v>3297</v>
      </c>
      <c r="F345" s="1853" t="s">
        <v>2239</v>
      </c>
      <c r="G345" s="1853" t="s">
        <v>1</v>
      </c>
      <c r="H345" s="1853" t="s">
        <v>1</v>
      </c>
      <c r="I345" s="1853" t="s">
        <v>641</v>
      </c>
    </row>
    <row r="346" spans="1:9" ht="11.25" customHeight="1">
      <c r="A346" s="1853" t="s">
        <v>2101</v>
      </c>
      <c r="B346" s="1853" t="s">
        <v>0</v>
      </c>
      <c r="C346" s="1853" t="s">
        <v>3298</v>
      </c>
      <c r="D346" s="1853" t="s">
        <v>3299</v>
      </c>
      <c r="E346" s="1853" t="s">
        <v>3300</v>
      </c>
      <c r="F346" s="1853" t="s">
        <v>2105</v>
      </c>
      <c r="G346" s="1853" t="s">
        <v>1</v>
      </c>
      <c r="H346" s="1853" t="s">
        <v>1</v>
      </c>
      <c r="I346" s="1853" t="s">
        <v>641</v>
      </c>
    </row>
    <row r="347" spans="1:9" ht="11.25" customHeight="1">
      <c r="A347" s="1853" t="s">
        <v>2101</v>
      </c>
      <c r="B347" s="1853" t="s">
        <v>0</v>
      </c>
      <c r="C347" s="1853" t="s">
        <v>3301</v>
      </c>
      <c r="D347" s="1853" t="s">
        <v>3302</v>
      </c>
      <c r="E347" s="1853" t="s">
        <v>3303</v>
      </c>
      <c r="F347" s="1853" t="s">
        <v>2230</v>
      </c>
      <c r="G347" s="1853" t="s">
        <v>1</v>
      </c>
      <c r="H347" s="1853" t="s">
        <v>1</v>
      </c>
      <c r="I347" s="1853" t="s">
        <v>641</v>
      </c>
    </row>
    <row r="348" spans="1:9" ht="11.25" customHeight="1">
      <c r="A348" s="1853" t="s">
        <v>2101</v>
      </c>
      <c r="B348" s="1853" t="s">
        <v>0</v>
      </c>
      <c r="C348" s="1853" t="s">
        <v>3304</v>
      </c>
      <c r="D348" s="1853" t="s">
        <v>3305</v>
      </c>
      <c r="E348" s="1853" t="s">
        <v>3306</v>
      </c>
      <c r="F348" s="1853" t="s">
        <v>2105</v>
      </c>
      <c r="G348" s="1853" t="s">
        <v>1</v>
      </c>
      <c r="H348" s="1853" t="s">
        <v>1</v>
      </c>
      <c r="I348" s="1853" t="s">
        <v>641</v>
      </c>
    </row>
    <row r="349" spans="1:9" ht="11.25" customHeight="1">
      <c r="A349" s="1853" t="s">
        <v>2101</v>
      </c>
      <c r="B349" s="1853" t="s">
        <v>0</v>
      </c>
      <c r="C349" s="1853" t="s">
        <v>3307</v>
      </c>
      <c r="D349" s="1853" t="s">
        <v>3308</v>
      </c>
      <c r="E349" s="1853" t="s">
        <v>3309</v>
      </c>
      <c r="F349" s="1853" t="s">
        <v>12</v>
      </c>
      <c r="G349" s="1853" t="s">
        <v>1</v>
      </c>
      <c r="H349" s="1853" t="s">
        <v>1</v>
      </c>
      <c r="I349" s="1853" t="s">
        <v>641</v>
      </c>
    </row>
    <row r="350" spans="1:9" ht="11.25" customHeight="1">
      <c r="A350" s="1853" t="s">
        <v>2101</v>
      </c>
      <c r="B350" s="1853" t="s">
        <v>0</v>
      </c>
      <c r="C350" s="1853" t="s">
        <v>3310</v>
      </c>
      <c r="D350" s="1853" t="s">
        <v>3311</v>
      </c>
      <c r="E350" s="1853" t="s">
        <v>3312</v>
      </c>
      <c r="F350" s="1853" t="s">
        <v>2159</v>
      </c>
      <c r="G350" s="1853" t="s">
        <v>1</v>
      </c>
      <c r="H350" s="1853" t="s">
        <v>1</v>
      </c>
      <c r="I350" s="1853" t="s">
        <v>641</v>
      </c>
    </row>
    <row r="351" spans="1:9" ht="11.25" customHeight="1">
      <c r="A351" s="1853" t="s">
        <v>2101</v>
      </c>
      <c r="B351" s="1853" t="s">
        <v>0</v>
      </c>
      <c r="C351" s="1853" t="s">
        <v>3313</v>
      </c>
      <c r="D351" s="1853" t="s">
        <v>3314</v>
      </c>
      <c r="E351" s="1853" t="s">
        <v>3315</v>
      </c>
      <c r="F351" s="1853" t="s">
        <v>2222</v>
      </c>
      <c r="G351" s="1853" t="s">
        <v>1</v>
      </c>
      <c r="H351" s="1853" t="s">
        <v>1</v>
      </c>
      <c r="I351" s="1853" t="s">
        <v>641</v>
      </c>
    </row>
    <row r="352" spans="1:9" ht="11.25" customHeight="1">
      <c r="A352" s="1853" t="s">
        <v>2101</v>
      </c>
      <c r="B352" s="1853" t="s">
        <v>0</v>
      </c>
      <c r="C352" s="1853" t="s">
        <v>3316</v>
      </c>
      <c r="D352" s="1853" t="s">
        <v>3317</v>
      </c>
      <c r="E352" s="1853" t="s">
        <v>3166</v>
      </c>
      <c r="F352" s="1853" t="s">
        <v>2329</v>
      </c>
      <c r="G352" s="1853" t="s">
        <v>1</v>
      </c>
      <c r="H352" s="1853" t="s">
        <v>1</v>
      </c>
      <c r="I352" s="1853" t="s">
        <v>641</v>
      </c>
    </row>
    <row r="353" spans="1:9" ht="11.25" customHeight="1">
      <c r="A353" s="1853" t="s">
        <v>2101</v>
      </c>
      <c r="B353" s="1853" t="s">
        <v>0</v>
      </c>
      <c r="C353" s="1853" t="s">
        <v>3318</v>
      </c>
      <c r="D353" s="1853" t="s">
        <v>3319</v>
      </c>
      <c r="E353" s="1853" t="s">
        <v>3320</v>
      </c>
      <c r="F353" s="1853" t="s">
        <v>2105</v>
      </c>
      <c r="G353" s="1853" t="s">
        <v>1</v>
      </c>
      <c r="H353" s="1853" t="s">
        <v>1</v>
      </c>
      <c r="I353" s="1853" t="s">
        <v>641</v>
      </c>
    </row>
    <row r="354" spans="1:9" ht="11.25" customHeight="1">
      <c r="A354" s="1853" t="s">
        <v>2101</v>
      </c>
      <c r="B354" s="1853" t="s">
        <v>0</v>
      </c>
      <c r="C354" s="1853" t="s">
        <v>3321</v>
      </c>
      <c r="D354" s="1853" t="s">
        <v>3322</v>
      </c>
      <c r="E354" s="1853" t="s">
        <v>3323</v>
      </c>
      <c r="F354" s="1853" t="s">
        <v>2222</v>
      </c>
      <c r="G354" s="1853" t="s">
        <v>1</v>
      </c>
      <c r="H354" s="1853" t="s">
        <v>1</v>
      </c>
      <c r="I354" s="1853" t="s">
        <v>641</v>
      </c>
    </row>
    <row r="355" spans="1:9" ht="11.25" customHeight="1">
      <c r="A355" s="1853" t="s">
        <v>2101</v>
      </c>
      <c r="B355" s="1853" t="s">
        <v>0</v>
      </c>
      <c r="C355" s="1853" t="s">
        <v>3324</v>
      </c>
      <c r="D355" s="1853" t="s">
        <v>3325</v>
      </c>
      <c r="E355" s="1853" t="s">
        <v>3326</v>
      </c>
      <c r="F355" s="1853" t="s">
        <v>2149</v>
      </c>
      <c r="G355" s="1853" t="s">
        <v>1</v>
      </c>
      <c r="H355" s="1853" t="s">
        <v>1</v>
      </c>
      <c r="I355" s="1853" t="s">
        <v>641</v>
      </c>
    </row>
    <row r="356" spans="1:9" ht="11.25" customHeight="1">
      <c r="A356" s="1853" t="s">
        <v>2101</v>
      </c>
      <c r="B356" s="1853" t="s">
        <v>0</v>
      </c>
      <c r="C356" s="1853" t="s">
        <v>3327</v>
      </c>
      <c r="D356" s="1853" t="s">
        <v>3328</v>
      </c>
      <c r="E356" s="1853" t="s">
        <v>3329</v>
      </c>
      <c r="F356" s="1853" t="s">
        <v>2230</v>
      </c>
      <c r="G356" s="1853" t="s">
        <v>1</v>
      </c>
      <c r="H356" s="1853" t="s">
        <v>1</v>
      </c>
      <c r="I356" s="1853" t="s">
        <v>641</v>
      </c>
    </row>
    <row r="357" spans="1:9" ht="11.25" customHeight="1">
      <c r="A357" s="1853" t="s">
        <v>2101</v>
      </c>
      <c r="B357" s="1853" t="s">
        <v>0</v>
      </c>
      <c r="C357" s="1853" t="s">
        <v>3330</v>
      </c>
      <c r="D357" s="1853" t="s">
        <v>3331</v>
      </c>
      <c r="E357" s="1853" t="s">
        <v>3332</v>
      </c>
      <c r="F357" s="1853" t="s">
        <v>2329</v>
      </c>
      <c r="G357" s="1853" t="s">
        <v>1</v>
      </c>
      <c r="H357" s="1853" t="s">
        <v>1</v>
      </c>
      <c r="I357" s="1853" t="s">
        <v>641</v>
      </c>
    </row>
    <row r="358" spans="1:9" ht="11.25" customHeight="1">
      <c r="A358" s="1853" t="s">
        <v>2101</v>
      </c>
      <c r="B358" s="1853" t="s">
        <v>0</v>
      </c>
      <c r="C358" s="1853" t="s">
        <v>3333</v>
      </c>
      <c r="D358" s="1853" t="s">
        <v>3334</v>
      </c>
      <c r="E358" s="1853" t="s">
        <v>3335</v>
      </c>
      <c r="F358" s="1853" t="s">
        <v>2105</v>
      </c>
      <c r="G358" s="1853" t="s">
        <v>1</v>
      </c>
      <c r="H358" s="1853" t="s">
        <v>1</v>
      </c>
      <c r="I358" s="1853" t="s">
        <v>641</v>
      </c>
    </row>
    <row r="359" spans="1:9" ht="11.25" customHeight="1">
      <c r="A359" s="1853" t="s">
        <v>2101</v>
      </c>
      <c r="B359" s="1853" t="s">
        <v>0</v>
      </c>
      <c r="C359" s="1853" t="s">
        <v>3336</v>
      </c>
      <c r="D359" s="1853" t="s">
        <v>3337</v>
      </c>
      <c r="E359" s="1853" t="s">
        <v>3338</v>
      </c>
      <c r="F359" s="1853" t="s">
        <v>2149</v>
      </c>
      <c r="G359" s="1853" t="s">
        <v>1</v>
      </c>
      <c r="H359" s="1853" t="s">
        <v>1</v>
      </c>
      <c r="I359" s="1853" t="s">
        <v>641</v>
      </c>
    </row>
    <row r="360" spans="1:9" ht="11.25" customHeight="1">
      <c r="A360" s="1853" t="s">
        <v>2101</v>
      </c>
      <c r="B360" s="1853" t="s">
        <v>0</v>
      </c>
      <c r="C360" s="1853" t="s">
        <v>3339</v>
      </c>
      <c r="D360" s="1853" t="s">
        <v>3340</v>
      </c>
      <c r="E360" s="1853" t="s">
        <v>3341</v>
      </c>
      <c r="F360" s="1853" t="s">
        <v>2149</v>
      </c>
      <c r="G360" s="1853" t="s">
        <v>1</v>
      </c>
      <c r="H360" s="1853" t="s">
        <v>1</v>
      </c>
      <c r="I360" s="1853" t="s">
        <v>641</v>
      </c>
    </row>
    <row r="361" spans="1:9" ht="11.25" customHeight="1">
      <c r="A361" s="1853" t="s">
        <v>2101</v>
      </c>
      <c r="B361" s="1853" t="s">
        <v>0</v>
      </c>
      <c r="C361" s="1853" t="s">
        <v>3342</v>
      </c>
      <c r="D361" s="1853" t="s">
        <v>3343</v>
      </c>
      <c r="E361" s="1853" t="s">
        <v>3344</v>
      </c>
      <c r="F361" s="1853" t="s">
        <v>2178</v>
      </c>
      <c r="G361" s="1853" t="s">
        <v>1</v>
      </c>
      <c r="H361" s="1853" t="s">
        <v>1</v>
      </c>
      <c r="I361" s="1853" t="s">
        <v>641</v>
      </c>
    </row>
    <row r="362" spans="1:9" ht="11.25" customHeight="1">
      <c r="A362" s="1853" t="s">
        <v>2101</v>
      </c>
      <c r="B362" s="1853" t="s">
        <v>0</v>
      </c>
      <c r="C362" s="1853" t="s">
        <v>3345</v>
      </c>
      <c r="D362" s="1853" t="s">
        <v>3346</v>
      </c>
      <c r="E362" s="1853" t="s">
        <v>2113</v>
      </c>
      <c r="F362" s="1853" t="s">
        <v>2308</v>
      </c>
      <c r="G362" s="1853" t="s">
        <v>1</v>
      </c>
      <c r="H362" s="1853" t="s">
        <v>1</v>
      </c>
      <c r="I362" s="1853" t="s">
        <v>641</v>
      </c>
    </row>
    <row r="363" spans="1:9" ht="11.25" customHeight="1">
      <c r="A363" s="1853" t="s">
        <v>2101</v>
      </c>
      <c r="B363" s="1853" t="s">
        <v>0</v>
      </c>
      <c r="C363" s="1853" t="s">
        <v>3347</v>
      </c>
      <c r="D363" s="1853" t="s">
        <v>3348</v>
      </c>
      <c r="E363" s="1853" t="s">
        <v>2247</v>
      </c>
      <c r="F363" s="1853" t="s">
        <v>3349</v>
      </c>
      <c r="G363" s="1853" t="s">
        <v>2251</v>
      </c>
      <c r="H363" s="1853" t="s">
        <v>1</v>
      </c>
      <c r="I363" s="1853" t="s">
        <v>641</v>
      </c>
    </row>
    <row r="364" spans="1:9" ht="11.25" customHeight="1">
      <c r="A364" s="1853" t="s">
        <v>2101</v>
      </c>
      <c r="B364" s="1853" t="s">
        <v>0</v>
      </c>
      <c r="C364" s="1853" t="s">
        <v>3350</v>
      </c>
      <c r="D364" s="1853" t="s">
        <v>3351</v>
      </c>
      <c r="E364" s="1853" t="s">
        <v>3352</v>
      </c>
      <c r="F364" s="1853" t="s">
        <v>2424</v>
      </c>
      <c r="G364" s="1853" t="s">
        <v>1</v>
      </c>
      <c r="H364" s="1853" t="s">
        <v>1</v>
      </c>
      <c r="I364" s="1853" t="s">
        <v>641</v>
      </c>
    </row>
    <row r="365" spans="1:9" ht="11.25" customHeight="1">
      <c r="A365" s="1853" t="s">
        <v>2101</v>
      </c>
      <c r="B365" s="1853" t="s">
        <v>0</v>
      </c>
      <c r="C365" s="1853" t="s">
        <v>3353</v>
      </c>
      <c r="D365" s="1853" t="s">
        <v>3354</v>
      </c>
      <c r="E365" s="1853" t="s">
        <v>3355</v>
      </c>
      <c r="F365" s="1853" t="s">
        <v>2178</v>
      </c>
      <c r="G365" s="1853" t="s">
        <v>1</v>
      </c>
      <c r="H365" s="1853" t="s">
        <v>1</v>
      </c>
      <c r="I365" s="1853" t="s">
        <v>641</v>
      </c>
    </row>
    <row r="366" spans="1:9" ht="11.25" customHeight="1">
      <c r="A366" s="1853" t="s">
        <v>2101</v>
      </c>
      <c r="B366" s="1853" t="s">
        <v>0</v>
      </c>
      <c r="C366" s="1853" t="s">
        <v>3356</v>
      </c>
      <c r="D366" s="1853" t="s">
        <v>3357</v>
      </c>
      <c r="E366" s="1853" t="s">
        <v>3358</v>
      </c>
      <c r="F366" s="1853" t="s">
        <v>2149</v>
      </c>
      <c r="G366" s="1853" t="s">
        <v>1</v>
      </c>
      <c r="H366" s="1853" t="s">
        <v>1</v>
      </c>
      <c r="I366" s="1853" t="s">
        <v>641</v>
      </c>
    </row>
    <row r="367" spans="1:9" ht="11.25" customHeight="1">
      <c r="A367" s="1853" t="s">
        <v>2101</v>
      </c>
      <c r="B367" s="1853" t="s">
        <v>0</v>
      </c>
      <c r="C367" s="1853" t="s">
        <v>3359</v>
      </c>
      <c r="D367" s="1853" t="s">
        <v>3360</v>
      </c>
      <c r="E367" s="1853" t="s">
        <v>3361</v>
      </c>
      <c r="F367" s="1853" t="s">
        <v>2105</v>
      </c>
      <c r="G367" s="1853" t="s">
        <v>1</v>
      </c>
      <c r="H367" s="1853" t="s">
        <v>1</v>
      </c>
      <c r="I367" s="1853" t="s">
        <v>641</v>
      </c>
    </row>
    <row r="368" spans="1:9" ht="11.25" customHeight="1">
      <c r="A368" s="1853" t="s">
        <v>2101</v>
      </c>
      <c r="B368" s="1853" t="s">
        <v>0</v>
      </c>
      <c r="C368" s="1853" t="s">
        <v>3362</v>
      </c>
      <c r="D368" s="1853" t="s">
        <v>3363</v>
      </c>
      <c r="E368" s="1853" t="s">
        <v>3364</v>
      </c>
      <c r="F368" s="1853" t="s">
        <v>2222</v>
      </c>
      <c r="G368" s="1853" t="s">
        <v>1</v>
      </c>
      <c r="H368" s="1853" t="s">
        <v>1</v>
      </c>
      <c r="I368" s="1853" t="s">
        <v>641</v>
      </c>
    </row>
    <row r="369" spans="1:9" ht="11.25" customHeight="1">
      <c r="A369" s="1853" t="s">
        <v>2101</v>
      </c>
      <c r="B369" s="1853" t="s">
        <v>0</v>
      </c>
      <c r="C369" s="1853" t="s">
        <v>3365</v>
      </c>
      <c r="D369" s="1853" t="s">
        <v>3366</v>
      </c>
      <c r="E369" s="1853" t="s">
        <v>3367</v>
      </c>
      <c r="F369" s="1853" t="s">
        <v>12</v>
      </c>
      <c r="G369" s="1853" t="s">
        <v>1</v>
      </c>
      <c r="H369" s="1853" t="s">
        <v>1</v>
      </c>
      <c r="I369" s="1853" t="s">
        <v>641</v>
      </c>
    </row>
    <row r="370" spans="1:9" ht="11.25" customHeight="1">
      <c r="A370" s="1853" t="s">
        <v>2101</v>
      </c>
      <c r="B370" s="1853" t="s">
        <v>0</v>
      </c>
      <c r="C370" s="1853" t="s">
        <v>3368</v>
      </c>
      <c r="D370" s="1853" t="s">
        <v>3369</v>
      </c>
      <c r="E370" s="1853" t="s">
        <v>3370</v>
      </c>
      <c r="F370" s="1853" t="s">
        <v>2424</v>
      </c>
      <c r="G370" s="1853" t="s">
        <v>1</v>
      </c>
      <c r="H370" s="1853" t="s">
        <v>1</v>
      </c>
      <c r="I370" s="1853" t="s">
        <v>641</v>
      </c>
    </row>
    <row r="371" spans="1:9" ht="11.25" customHeight="1">
      <c r="A371" s="1853" t="s">
        <v>2101</v>
      </c>
      <c r="B371" s="1853" t="s">
        <v>0</v>
      </c>
      <c r="C371" s="1853" t="s">
        <v>3371</v>
      </c>
      <c r="D371" s="1853" t="s">
        <v>3372</v>
      </c>
      <c r="E371" s="1853" t="s">
        <v>3373</v>
      </c>
      <c r="F371" s="1853" t="s">
        <v>2572</v>
      </c>
      <c r="G371" s="1853" t="s">
        <v>3374</v>
      </c>
      <c r="H371" s="1853" t="s">
        <v>1</v>
      </c>
      <c r="I371" s="1853" t="s">
        <v>641</v>
      </c>
    </row>
    <row r="372" spans="1:9" ht="11.25" customHeight="1">
      <c r="A372" s="1853" t="s">
        <v>2101</v>
      </c>
      <c r="B372" s="1853" t="s">
        <v>0</v>
      </c>
      <c r="C372" s="1853" t="s">
        <v>3375</v>
      </c>
      <c r="D372" s="1853" t="s">
        <v>3376</v>
      </c>
      <c r="E372" s="1853" t="s">
        <v>3377</v>
      </c>
      <c r="F372" s="1853" t="s">
        <v>2329</v>
      </c>
      <c r="G372" s="1853" t="s">
        <v>1</v>
      </c>
      <c r="H372" s="1853" t="s">
        <v>1</v>
      </c>
      <c r="I372" s="1853" t="s">
        <v>641</v>
      </c>
    </row>
    <row r="373" spans="1:9" ht="11.25" customHeight="1">
      <c r="A373" s="1853" t="s">
        <v>2101</v>
      </c>
      <c r="B373" s="1853" t="s">
        <v>0</v>
      </c>
      <c r="C373" s="1853" t="s">
        <v>3378</v>
      </c>
      <c r="D373" s="1853" t="s">
        <v>3379</v>
      </c>
      <c r="E373" s="1853" t="s">
        <v>3380</v>
      </c>
      <c r="F373" s="1853" t="s">
        <v>12</v>
      </c>
      <c r="G373" s="1853" t="s">
        <v>1</v>
      </c>
      <c r="H373" s="1853" t="s">
        <v>1</v>
      </c>
      <c r="I373" s="1853" t="s">
        <v>641</v>
      </c>
    </row>
    <row r="374" spans="1:9" ht="11.25" customHeight="1">
      <c r="A374" s="1853" t="s">
        <v>2101</v>
      </c>
      <c r="B374" s="1853" t="s">
        <v>0</v>
      </c>
      <c r="C374" s="1853" t="s">
        <v>3381</v>
      </c>
      <c r="D374" s="1853" t="s">
        <v>3382</v>
      </c>
      <c r="E374" s="1853" t="s">
        <v>3383</v>
      </c>
      <c r="F374" s="1853" t="s">
        <v>2149</v>
      </c>
      <c r="G374" s="1853" t="s">
        <v>3384</v>
      </c>
      <c r="H374" s="1853" t="s">
        <v>1</v>
      </c>
      <c r="I374" s="1853" t="s">
        <v>641</v>
      </c>
    </row>
    <row r="375" spans="1:9" ht="11.25" customHeight="1">
      <c r="A375" s="1853" t="s">
        <v>2101</v>
      </c>
      <c r="B375" s="1853" t="s">
        <v>0</v>
      </c>
      <c r="C375" s="1853" t="s">
        <v>3385</v>
      </c>
      <c r="D375" s="1853" t="s">
        <v>3386</v>
      </c>
      <c r="E375" s="1853" t="s">
        <v>3387</v>
      </c>
      <c r="F375" s="1853" t="s">
        <v>2149</v>
      </c>
      <c r="G375" s="1853" t="s">
        <v>1</v>
      </c>
      <c r="H375" s="1853" t="s">
        <v>1</v>
      </c>
      <c r="I375" s="1853" t="s">
        <v>641</v>
      </c>
    </row>
    <row r="376" spans="1:9" ht="11.25" customHeight="1">
      <c r="A376" s="1853" t="s">
        <v>2101</v>
      </c>
      <c r="B376" s="1853" t="s">
        <v>0</v>
      </c>
      <c r="C376" s="1853" t="s">
        <v>3388</v>
      </c>
      <c r="D376" s="1853" t="s">
        <v>3389</v>
      </c>
      <c r="E376" s="1853" t="s">
        <v>3390</v>
      </c>
      <c r="F376" s="1853" t="s">
        <v>12</v>
      </c>
      <c r="G376" s="1853" t="s">
        <v>1</v>
      </c>
      <c r="H376" s="1853" t="s">
        <v>1</v>
      </c>
      <c r="I376" s="1853" t="s">
        <v>641</v>
      </c>
    </row>
    <row r="377" spans="1:9" ht="11.25" customHeight="1">
      <c r="A377" s="1853" t="s">
        <v>2101</v>
      </c>
      <c r="B377" s="1853" t="s">
        <v>0</v>
      </c>
      <c r="C377" s="1853" t="s">
        <v>3391</v>
      </c>
      <c r="D377" s="1853" t="s">
        <v>3392</v>
      </c>
      <c r="E377" s="1853" t="s">
        <v>3393</v>
      </c>
      <c r="F377" s="1853" t="s">
        <v>2572</v>
      </c>
      <c r="G377" s="1853" t="s">
        <v>3394</v>
      </c>
      <c r="H377" s="1853" t="s">
        <v>1</v>
      </c>
      <c r="I377" s="1853" t="s">
        <v>641</v>
      </c>
    </row>
    <row r="378" spans="1:9" ht="11.25" customHeight="1">
      <c r="A378" s="1853" t="s">
        <v>2101</v>
      </c>
      <c r="B378" s="1853" t="s">
        <v>0</v>
      </c>
      <c r="C378" s="1853" t="s">
        <v>3395</v>
      </c>
      <c r="D378" s="1853" t="s">
        <v>3396</v>
      </c>
      <c r="E378" s="1853" t="s">
        <v>3397</v>
      </c>
      <c r="F378" s="1853" t="s">
        <v>12</v>
      </c>
      <c r="G378" s="1853" t="s">
        <v>3398</v>
      </c>
      <c r="H378" s="1853" t="s">
        <v>1</v>
      </c>
      <c r="I378" s="1853" t="s">
        <v>641</v>
      </c>
    </row>
    <row r="379" spans="1:9" ht="11.25" customHeight="1">
      <c r="A379" s="1853" t="s">
        <v>2101</v>
      </c>
      <c r="B379" s="1853" t="s">
        <v>0</v>
      </c>
      <c r="C379" s="1853" t="s">
        <v>3399</v>
      </c>
      <c r="D379" s="1853" t="s">
        <v>3400</v>
      </c>
      <c r="E379" s="1853" t="s">
        <v>3401</v>
      </c>
      <c r="F379" s="1853" t="s">
        <v>2239</v>
      </c>
      <c r="G379" s="1853" t="s">
        <v>1</v>
      </c>
      <c r="H379" s="1853" t="s">
        <v>1</v>
      </c>
      <c r="I379" s="1853" t="s">
        <v>641</v>
      </c>
    </row>
    <row r="380" spans="1:9" ht="11.25" customHeight="1">
      <c r="A380" s="1853" t="s">
        <v>2101</v>
      </c>
      <c r="B380" s="1853" t="s">
        <v>0</v>
      </c>
      <c r="C380" s="1853" t="s">
        <v>3402</v>
      </c>
      <c r="D380" s="1853" t="s">
        <v>3403</v>
      </c>
      <c r="E380" s="1853" t="s">
        <v>3404</v>
      </c>
      <c r="F380" s="1853" t="s">
        <v>2613</v>
      </c>
      <c r="G380" s="1853" t="s">
        <v>3405</v>
      </c>
      <c r="H380" s="1853" t="s">
        <v>1</v>
      </c>
      <c r="I380" s="1853" t="s">
        <v>641</v>
      </c>
    </row>
    <row r="381" spans="1:9" ht="11.25" customHeight="1">
      <c r="A381" s="1853" t="s">
        <v>2101</v>
      </c>
      <c r="B381" s="1853" t="s">
        <v>0</v>
      </c>
      <c r="C381" s="1853" t="s">
        <v>3406</v>
      </c>
      <c r="D381" s="1853" t="s">
        <v>3407</v>
      </c>
      <c r="E381" s="1853" t="s">
        <v>3408</v>
      </c>
      <c r="F381" s="1853" t="s">
        <v>2528</v>
      </c>
      <c r="G381" s="1853" t="s">
        <v>3409</v>
      </c>
      <c r="H381" s="1853" t="s">
        <v>1</v>
      </c>
      <c r="I381" s="1853" t="s">
        <v>641</v>
      </c>
    </row>
    <row r="382" spans="1:9" ht="11.25" customHeight="1">
      <c r="A382" s="1853" t="s">
        <v>2101</v>
      </c>
      <c r="B382" s="1853" t="s">
        <v>0</v>
      </c>
      <c r="C382" s="1853" t="s">
        <v>3410</v>
      </c>
      <c r="D382" s="1853" t="s">
        <v>3411</v>
      </c>
      <c r="E382" s="1853" t="s">
        <v>3412</v>
      </c>
      <c r="F382" s="1853" t="s">
        <v>2329</v>
      </c>
      <c r="G382" s="1853" t="s">
        <v>1</v>
      </c>
      <c r="H382" s="1853" t="s">
        <v>1</v>
      </c>
      <c r="I382" s="1853" t="s">
        <v>641</v>
      </c>
    </row>
    <row r="383" spans="1:9" ht="11.25" customHeight="1">
      <c r="A383" s="1853" t="s">
        <v>2101</v>
      </c>
      <c r="B383" s="1853" t="s">
        <v>0</v>
      </c>
      <c r="C383" s="1853" t="s">
        <v>3413</v>
      </c>
      <c r="D383" s="1853" t="s">
        <v>3414</v>
      </c>
      <c r="E383" s="1853" t="s">
        <v>3415</v>
      </c>
      <c r="F383" s="1853" t="s">
        <v>2222</v>
      </c>
      <c r="G383" s="1853" t="s">
        <v>1</v>
      </c>
      <c r="H383" s="1853" t="s">
        <v>1</v>
      </c>
      <c r="I383" s="1853" t="s">
        <v>641</v>
      </c>
    </row>
    <row r="384" spans="1:9" ht="11.25" customHeight="1">
      <c r="A384" s="1853" t="s">
        <v>2101</v>
      </c>
      <c r="B384" s="1853" t="s">
        <v>0</v>
      </c>
      <c r="C384" s="1853" t="s">
        <v>3416</v>
      </c>
      <c r="D384" s="1853" t="s">
        <v>3417</v>
      </c>
      <c r="E384" s="1853" t="s">
        <v>3418</v>
      </c>
      <c r="F384" s="1853" t="s">
        <v>12</v>
      </c>
      <c r="G384" s="1853" t="s">
        <v>1</v>
      </c>
      <c r="H384" s="1853" t="s">
        <v>1</v>
      </c>
      <c r="I384" s="1853" t="s">
        <v>641</v>
      </c>
    </row>
    <row r="385" spans="1:9" ht="11.25" customHeight="1">
      <c r="A385" s="1853" t="s">
        <v>2101</v>
      </c>
      <c r="B385" s="1853" t="s">
        <v>0</v>
      </c>
      <c r="C385" s="1853" t="s">
        <v>3419</v>
      </c>
      <c r="D385" s="1853" t="s">
        <v>3420</v>
      </c>
      <c r="E385" s="1853" t="s">
        <v>3421</v>
      </c>
      <c r="F385" s="1853" t="s">
        <v>2207</v>
      </c>
      <c r="G385" s="1853" t="s">
        <v>1</v>
      </c>
      <c r="H385" s="1853" t="s">
        <v>1</v>
      </c>
      <c r="I385" s="1853" t="s">
        <v>641</v>
      </c>
    </row>
    <row r="386" spans="1:9" ht="11.25" customHeight="1">
      <c r="A386" s="1853" t="s">
        <v>2101</v>
      </c>
      <c r="B386" s="1853" t="s">
        <v>0</v>
      </c>
      <c r="C386" s="1853" t="s">
        <v>3422</v>
      </c>
      <c r="D386" s="1853" t="s">
        <v>3423</v>
      </c>
      <c r="E386" s="1853" t="s">
        <v>3424</v>
      </c>
      <c r="F386" s="1853" t="s">
        <v>3425</v>
      </c>
      <c r="G386" s="1853" t="s">
        <v>1</v>
      </c>
      <c r="H386" s="1853" t="s">
        <v>3426</v>
      </c>
      <c r="I386" s="1853" t="s">
        <v>641</v>
      </c>
    </row>
    <row r="387" spans="1:9" ht="11.25" customHeight="1">
      <c r="A387" s="1853" t="s">
        <v>2101</v>
      </c>
      <c r="B387" s="1853" t="s">
        <v>0</v>
      </c>
      <c r="C387" s="1853" t="s">
        <v>3427</v>
      </c>
      <c r="D387" s="1853" t="s">
        <v>3428</v>
      </c>
      <c r="E387" s="1853" t="s">
        <v>3429</v>
      </c>
      <c r="F387" s="1853" t="s">
        <v>2222</v>
      </c>
      <c r="G387" s="1853" t="s">
        <v>1</v>
      </c>
      <c r="H387" s="1853" t="s">
        <v>1</v>
      </c>
      <c r="I387" s="1853" t="s">
        <v>641</v>
      </c>
    </row>
    <row r="388" spans="1:9" ht="11.25" customHeight="1">
      <c r="A388" s="1853" t="s">
        <v>2101</v>
      </c>
      <c r="B388" s="1853" t="s">
        <v>0</v>
      </c>
      <c r="C388" s="1853" t="s">
        <v>3430</v>
      </c>
      <c r="D388" s="1853" t="s">
        <v>3431</v>
      </c>
      <c r="E388" s="1853" t="s">
        <v>3432</v>
      </c>
      <c r="F388" s="1853" t="s">
        <v>3433</v>
      </c>
      <c r="G388" s="1853" t="s">
        <v>1</v>
      </c>
      <c r="H388" s="1853" t="s">
        <v>1</v>
      </c>
      <c r="I388" s="1853" t="s">
        <v>641</v>
      </c>
    </row>
    <row r="389" spans="1:9" ht="11.25" customHeight="1">
      <c r="A389" s="1853" t="s">
        <v>2101</v>
      </c>
      <c r="B389" s="1853" t="s">
        <v>0</v>
      </c>
      <c r="C389" s="1853" t="s">
        <v>3434</v>
      </c>
      <c r="D389" s="1853" t="s">
        <v>3435</v>
      </c>
      <c r="E389" s="1853" t="s">
        <v>3432</v>
      </c>
      <c r="F389" s="1853" t="s">
        <v>12</v>
      </c>
      <c r="G389" s="1853" t="s">
        <v>1</v>
      </c>
      <c r="H389" s="1853" t="s">
        <v>1</v>
      </c>
      <c r="I389" s="1853" t="s">
        <v>641</v>
      </c>
    </row>
    <row r="390" spans="1:9" ht="11.25" customHeight="1">
      <c r="A390" s="1853" t="s">
        <v>2101</v>
      </c>
      <c r="B390" s="1853" t="s">
        <v>0</v>
      </c>
      <c r="C390" s="1853" t="s">
        <v>3436</v>
      </c>
      <c r="D390" s="1853" t="s">
        <v>3437</v>
      </c>
      <c r="E390" s="1853" t="s">
        <v>3432</v>
      </c>
      <c r="F390" s="1853" t="s">
        <v>3438</v>
      </c>
      <c r="G390" s="1853" t="s">
        <v>1</v>
      </c>
      <c r="H390" s="1853" t="s">
        <v>1</v>
      </c>
      <c r="I390" s="1853" t="s">
        <v>641</v>
      </c>
    </row>
    <row r="391" spans="1:9" ht="11.25" customHeight="1">
      <c r="A391" s="1853" t="s">
        <v>2101</v>
      </c>
      <c r="B391" s="1853" t="s">
        <v>0</v>
      </c>
      <c r="C391" s="1853" t="s">
        <v>3439</v>
      </c>
      <c r="D391" s="1853" t="s">
        <v>3440</v>
      </c>
      <c r="E391" s="1853" t="s">
        <v>3432</v>
      </c>
      <c r="F391" s="1853" t="s">
        <v>3441</v>
      </c>
      <c r="G391" s="1853" t="s">
        <v>1</v>
      </c>
      <c r="H391" s="1853" t="s">
        <v>1</v>
      </c>
      <c r="I391" s="1853" t="s">
        <v>641</v>
      </c>
    </row>
    <row r="392" spans="1:9" ht="11.25" customHeight="1">
      <c r="A392" s="1853" t="s">
        <v>2101</v>
      </c>
      <c r="B392" s="1853" t="s">
        <v>0</v>
      </c>
      <c r="C392" s="1853" t="s">
        <v>3442</v>
      </c>
      <c r="D392" s="1853" t="s">
        <v>3443</v>
      </c>
      <c r="E392" s="1853" t="s">
        <v>3432</v>
      </c>
      <c r="F392" s="1853" t="s">
        <v>3444</v>
      </c>
      <c r="G392" s="1853" t="s">
        <v>1</v>
      </c>
      <c r="H392" s="1853" t="s">
        <v>1</v>
      </c>
      <c r="I392" s="1853" t="s">
        <v>641</v>
      </c>
    </row>
    <row r="393" spans="1:9" ht="11.25" customHeight="1">
      <c r="A393" s="1853" t="s">
        <v>2101</v>
      </c>
      <c r="B393" s="1853" t="s">
        <v>0</v>
      </c>
      <c r="C393" s="1853" t="s">
        <v>3445</v>
      </c>
      <c r="D393" s="1853" t="s">
        <v>3446</v>
      </c>
      <c r="E393" s="1853" t="s">
        <v>3432</v>
      </c>
      <c r="F393" s="1853" t="s">
        <v>3447</v>
      </c>
      <c r="G393" s="1853" t="s">
        <v>1</v>
      </c>
      <c r="H393" s="1853" t="s">
        <v>1</v>
      </c>
      <c r="I393" s="1853" t="s">
        <v>641</v>
      </c>
    </row>
    <row r="394" spans="1:9" ht="11.25" customHeight="1">
      <c r="A394" s="1853" t="s">
        <v>2101</v>
      </c>
      <c r="B394" s="1853" t="s">
        <v>0</v>
      </c>
      <c r="C394" s="1853" t="s">
        <v>3448</v>
      </c>
      <c r="D394" s="1853" t="s">
        <v>3449</v>
      </c>
      <c r="E394" s="1853" t="s">
        <v>3432</v>
      </c>
      <c r="F394" s="1853" t="s">
        <v>3450</v>
      </c>
      <c r="G394" s="1853" t="s">
        <v>1</v>
      </c>
      <c r="H394" s="1853" t="s">
        <v>1</v>
      </c>
      <c r="I394" s="1853" t="s">
        <v>641</v>
      </c>
    </row>
    <row r="395" spans="1:9" ht="11.25" customHeight="1">
      <c r="A395" s="1853" t="s">
        <v>2101</v>
      </c>
      <c r="B395" s="1853" t="s">
        <v>0</v>
      </c>
      <c r="C395" s="1853" t="s">
        <v>3451</v>
      </c>
      <c r="D395" s="1853" t="s">
        <v>3452</v>
      </c>
      <c r="E395" s="1853" t="s">
        <v>3432</v>
      </c>
      <c r="F395" s="1853" t="s">
        <v>3453</v>
      </c>
      <c r="G395" s="1853" t="s">
        <v>1</v>
      </c>
      <c r="H395" s="1853" t="s">
        <v>1</v>
      </c>
      <c r="I395" s="1853" t="s">
        <v>641</v>
      </c>
    </row>
    <row r="396" spans="1:9" ht="11.25" customHeight="1">
      <c r="A396" s="1853" t="s">
        <v>2101</v>
      </c>
      <c r="B396" s="1853" t="s">
        <v>0</v>
      </c>
      <c r="C396" s="1853" t="s">
        <v>3454</v>
      </c>
      <c r="D396" s="1853" t="s">
        <v>3455</v>
      </c>
      <c r="E396" s="1853" t="s">
        <v>3432</v>
      </c>
      <c r="F396" s="1853" t="s">
        <v>3456</v>
      </c>
      <c r="G396" s="1853" t="s">
        <v>1</v>
      </c>
      <c r="H396" s="1853" t="s">
        <v>1</v>
      </c>
      <c r="I396" s="1853" t="s">
        <v>641</v>
      </c>
    </row>
    <row r="397" spans="1:9" ht="11.25" customHeight="1">
      <c r="A397" s="1853" t="s">
        <v>2101</v>
      </c>
      <c r="B397" s="1853" t="s">
        <v>0</v>
      </c>
      <c r="C397" s="1853" t="s">
        <v>3457</v>
      </c>
      <c r="D397" s="1853" t="s">
        <v>3458</v>
      </c>
      <c r="E397" s="1853" t="s">
        <v>3432</v>
      </c>
      <c r="F397" s="1853" t="s">
        <v>3459</v>
      </c>
      <c r="G397" s="1853" t="s">
        <v>1</v>
      </c>
      <c r="H397" s="1853" t="s">
        <v>1</v>
      </c>
      <c r="I397" s="1853" t="s">
        <v>641</v>
      </c>
    </row>
    <row r="398" spans="1:9" ht="11.25" customHeight="1">
      <c r="A398" s="1853" t="s">
        <v>2101</v>
      </c>
      <c r="B398" s="1853" t="s">
        <v>0</v>
      </c>
      <c r="C398" s="1853" t="s">
        <v>3460</v>
      </c>
      <c r="D398" s="1853" t="s">
        <v>3461</v>
      </c>
      <c r="E398" s="1853" t="s">
        <v>3432</v>
      </c>
      <c r="F398" s="1853" t="s">
        <v>3462</v>
      </c>
      <c r="G398" s="1853" t="s">
        <v>1</v>
      </c>
      <c r="H398" s="1853" t="s">
        <v>1</v>
      </c>
      <c r="I398" s="1853" t="s">
        <v>641</v>
      </c>
    </row>
    <row r="399" spans="1:9" ht="11.25" customHeight="1">
      <c r="A399" s="1853" t="s">
        <v>2101</v>
      </c>
      <c r="B399" s="1853" t="s">
        <v>0</v>
      </c>
      <c r="C399" s="1853" t="s">
        <v>3463</v>
      </c>
      <c r="D399" s="1853" t="s">
        <v>3464</v>
      </c>
      <c r="E399" s="1853" t="s">
        <v>3465</v>
      </c>
      <c r="F399" s="1853" t="s">
        <v>2509</v>
      </c>
      <c r="G399" s="1853" t="s">
        <v>3466</v>
      </c>
      <c r="H399" s="1853" t="s">
        <v>1</v>
      </c>
      <c r="I399" s="1853" t="s">
        <v>641</v>
      </c>
    </row>
    <row r="400" spans="1:9" ht="11.25" customHeight="1">
      <c r="A400" s="1853" t="s">
        <v>2101</v>
      </c>
      <c r="B400" s="1853" t="s">
        <v>0</v>
      </c>
      <c r="C400" s="1853" t="s">
        <v>3467</v>
      </c>
      <c r="D400" s="1853" t="s">
        <v>3468</v>
      </c>
      <c r="E400" s="1853" t="s">
        <v>3465</v>
      </c>
      <c r="F400" s="1853" t="s">
        <v>3469</v>
      </c>
      <c r="G400" s="1853" t="s">
        <v>3466</v>
      </c>
      <c r="H400" s="1853" t="s">
        <v>1</v>
      </c>
      <c r="I400" s="1853" t="s">
        <v>641</v>
      </c>
    </row>
    <row r="401" spans="1:9" ht="11.25" customHeight="1">
      <c r="A401" s="1853" t="s">
        <v>2101</v>
      </c>
      <c r="B401" s="1853" t="s">
        <v>0</v>
      </c>
      <c r="C401" s="1853" t="s">
        <v>3470</v>
      </c>
      <c r="D401" s="1853" t="s">
        <v>3471</v>
      </c>
      <c r="E401" s="1853" t="s">
        <v>3472</v>
      </c>
      <c r="F401" s="1853" t="s">
        <v>2810</v>
      </c>
      <c r="G401" s="1853" t="s">
        <v>1</v>
      </c>
      <c r="H401" s="1853" t="s">
        <v>1</v>
      </c>
      <c r="I401" s="1853" t="s">
        <v>641</v>
      </c>
    </row>
    <row r="402" spans="1:9" ht="11.25" customHeight="1">
      <c r="A402" s="1853" t="s">
        <v>2101</v>
      </c>
      <c r="B402" s="1853" t="s">
        <v>0</v>
      </c>
      <c r="C402" s="1853" t="s">
        <v>3473</v>
      </c>
      <c r="D402" s="1853" t="s">
        <v>3474</v>
      </c>
      <c r="E402" s="1853" t="s">
        <v>3475</v>
      </c>
      <c r="F402" s="1853" t="s">
        <v>2230</v>
      </c>
      <c r="G402" s="1853" t="s">
        <v>1</v>
      </c>
      <c r="H402" s="1853" t="s">
        <v>1</v>
      </c>
      <c r="I402" s="1853" t="s">
        <v>641</v>
      </c>
    </row>
    <row r="403" spans="1:9" ht="11.25" customHeight="1">
      <c r="A403" s="1853" t="s">
        <v>2101</v>
      </c>
      <c r="B403" s="1853" t="s">
        <v>0</v>
      </c>
      <c r="C403" s="1853" t="s">
        <v>3476</v>
      </c>
      <c r="D403" s="1853" t="s">
        <v>3477</v>
      </c>
      <c r="E403" s="1853" t="s">
        <v>3478</v>
      </c>
      <c r="F403" s="1853" t="s">
        <v>2196</v>
      </c>
      <c r="G403" s="1853" t="s">
        <v>3479</v>
      </c>
      <c r="H403" s="1853" t="s">
        <v>1</v>
      </c>
      <c r="I403" s="1853" t="s">
        <v>641</v>
      </c>
    </row>
    <row r="404" spans="1:9" ht="11.25" customHeight="1">
      <c r="A404" s="1853" t="s">
        <v>2101</v>
      </c>
      <c r="B404" s="1853" t="s">
        <v>0</v>
      </c>
      <c r="C404" s="1853" t="s">
        <v>3480</v>
      </c>
      <c r="D404" s="1853" t="s">
        <v>3481</v>
      </c>
      <c r="E404" s="1853" t="s">
        <v>3482</v>
      </c>
      <c r="F404" s="1853" t="s">
        <v>2329</v>
      </c>
      <c r="G404" s="1853" t="s">
        <v>1</v>
      </c>
      <c r="H404" s="1853" t="s">
        <v>1</v>
      </c>
      <c r="I404" s="1853" t="s">
        <v>641</v>
      </c>
    </row>
    <row r="405" spans="1:9" ht="11.25" customHeight="1">
      <c r="A405" s="1853" t="s">
        <v>2101</v>
      </c>
      <c r="B405" s="1853" t="s">
        <v>0</v>
      </c>
      <c r="C405" s="1853" t="s">
        <v>3483</v>
      </c>
      <c r="D405" s="1853" t="s">
        <v>3484</v>
      </c>
      <c r="E405" s="1853" t="s">
        <v>3485</v>
      </c>
      <c r="F405" s="1853" t="s">
        <v>3486</v>
      </c>
      <c r="G405" s="1853" t="s">
        <v>1</v>
      </c>
      <c r="H405" s="1853" t="s">
        <v>1</v>
      </c>
      <c r="I405" s="1853" t="s">
        <v>641</v>
      </c>
    </row>
    <row r="406" spans="1:9" ht="11.25" customHeight="1">
      <c r="A406" s="1853" t="s">
        <v>2101</v>
      </c>
      <c r="B406" s="1853" t="s">
        <v>0</v>
      </c>
      <c r="C406" s="1853" t="s">
        <v>3487</v>
      </c>
      <c r="D406" s="1853" t="s">
        <v>3488</v>
      </c>
      <c r="E406" s="1853" t="s">
        <v>3489</v>
      </c>
      <c r="F406" s="1853" t="s">
        <v>3490</v>
      </c>
      <c r="G406" s="1853" t="s">
        <v>1</v>
      </c>
      <c r="H406" s="1853" t="s">
        <v>1</v>
      </c>
      <c r="I406" s="1853" t="s">
        <v>641</v>
      </c>
    </row>
    <row r="407" spans="1:9" ht="11.25" customHeight="1">
      <c r="A407" s="1853" t="s">
        <v>2101</v>
      </c>
      <c r="B407" s="1853" t="s">
        <v>0</v>
      </c>
      <c r="C407" s="1853" t="s">
        <v>3491</v>
      </c>
      <c r="D407" s="1853" t="s">
        <v>3492</v>
      </c>
      <c r="E407" s="1853" t="s">
        <v>3493</v>
      </c>
      <c r="F407" s="1853" t="s">
        <v>2222</v>
      </c>
      <c r="G407" s="1853" t="s">
        <v>3494</v>
      </c>
      <c r="H407" s="1853" t="s">
        <v>1</v>
      </c>
      <c r="I407" s="1853" t="s">
        <v>641</v>
      </c>
    </row>
    <row r="408" spans="1:9" ht="11.25" customHeight="1">
      <c r="A408" s="1853" t="s">
        <v>2101</v>
      </c>
      <c r="B408" s="1853" t="s">
        <v>0</v>
      </c>
      <c r="C408" s="1853" t="s">
        <v>3495</v>
      </c>
      <c r="D408" s="1853" t="s">
        <v>3496</v>
      </c>
      <c r="E408" s="1853" t="s">
        <v>3497</v>
      </c>
      <c r="F408" s="1853" t="s">
        <v>2159</v>
      </c>
      <c r="G408" s="1853" t="s">
        <v>1</v>
      </c>
      <c r="H408" s="1853" t="s">
        <v>1</v>
      </c>
      <c r="I408" s="1853" t="s">
        <v>641</v>
      </c>
    </row>
    <row r="409" spans="1:9" ht="11.25" customHeight="1">
      <c r="A409" s="1853" t="s">
        <v>2101</v>
      </c>
      <c r="B409" s="1853" t="s">
        <v>0</v>
      </c>
      <c r="C409" s="1853" t="s">
        <v>3498</v>
      </c>
      <c r="D409" s="1853" t="s">
        <v>3499</v>
      </c>
      <c r="E409" s="1853" t="s">
        <v>3500</v>
      </c>
      <c r="F409" s="1853" t="s">
        <v>3501</v>
      </c>
      <c r="G409" s="1853" t="s">
        <v>1</v>
      </c>
      <c r="H409" s="1853" t="s">
        <v>1</v>
      </c>
      <c r="I409" s="1853" t="s">
        <v>641</v>
      </c>
    </row>
    <row r="410" spans="1:9" ht="11.25" customHeight="1">
      <c r="A410" s="1853" t="s">
        <v>2101</v>
      </c>
      <c r="B410" s="1853" t="s">
        <v>0</v>
      </c>
      <c r="C410" s="1853" t="s">
        <v>3502</v>
      </c>
      <c r="D410" s="1853" t="s">
        <v>3503</v>
      </c>
      <c r="E410" s="1853" t="s">
        <v>3504</v>
      </c>
      <c r="F410" s="1853" t="s">
        <v>2159</v>
      </c>
      <c r="G410" s="1853" t="s">
        <v>1</v>
      </c>
      <c r="H410" s="1853" t="s">
        <v>1</v>
      </c>
      <c r="I410" s="1853" t="s">
        <v>641</v>
      </c>
    </row>
    <row r="411" spans="1:9" ht="11.25" customHeight="1">
      <c r="A411" s="1853" t="s">
        <v>2101</v>
      </c>
      <c r="B411" s="1853" t="s">
        <v>0</v>
      </c>
      <c r="C411" s="1853" t="s">
        <v>3505</v>
      </c>
      <c r="D411" s="1853" t="s">
        <v>3506</v>
      </c>
      <c r="E411" s="1853" t="s">
        <v>3507</v>
      </c>
      <c r="F411" s="1853" t="s">
        <v>2105</v>
      </c>
      <c r="G411" s="1853" t="s">
        <v>2573</v>
      </c>
      <c r="H411" s="1853" t="s">
        <v>1</v>
      </c>
      <c r="I411" s="1853" t="s">
        <v>641</v>
      </c>
    </row>
    <row r="412" spans="1:9" ht="11.25" customHeight="1">
      <c r="A412" s="1853" t="s">
        <v>2101</v>
      </c>
      <c r="B412" s="1853" t="s">
        <v>0</v>
      </c>
      <c r="C412" s="1853" t="s">
        <v>3508</v>
      </c>
      <c r="D412" s="1853" t="s">
        <v>3509</v>
      </c>
      <c r="E412" s="1853" t="s">
        <v>3510</v>
      </c>
      <c r="F412" s="1853" t="s">
        <v>2196</v>
      </c>
      <c r="G412" s="1853" t="s">
        <v>1</v>
      </c>
      <c r="H412" s="1853" t="s">
        <v>1</v>
      </c>
      <c r="I412" s="1853" t="s">
        <v>641</v>
      </c>
    </row>
    <row r="413" spans="1:9" ht="11.25" customHeight="1">
      <c r="A413" s="1853" t="s">
        <v>2101</v>
      </c>
      <c r="B413" s="1853" t="s">
        <v>0</v>
      </c>
      <c r="C413" s="1853" t="s">
        <v>3511</v>
      </c>
      <c r="D413" s="1853" t="s">
        <v>3512</v>
      </c>
      <c r="E413" s="1853" t="s">
        <v>3513</v>
      </c>
      <c r="F413" s="1853" t="s">
        <v>12</v>
      </c>
      <c r="G413" s="1853" t="s">
        <v>2909</v>
      </c>
      <c r="H413" s="1853" t="s">
        <v>1</v>
      </c>
      <c r="I413" s="1853" t="s">
        <v>641</v>
      </c>
    </row>
    <row r="414" spans="1:9" ht="11.25" customHeight="1">
      <c r="A414" s="1853" t="s">
        <v>2101</v>
      </c>
      <c r="B414" s="1853" t="s">
        <v>0</v>
      </c>
      <c r="C414" s="1853" t="s">
        <v>3514</v>
      </c>
      <c r="D414" s="1853" t="s">
        <v>3515</v>
      </c>
      <c r="E414" s="1853" t="s">
        <v>3516</v>
      </c>
      <c r="F414" s="1853" t="s">
        <v>2105</v>
      </c>
      <c r="G414" s="1853" t="s">
        <v>3517</v>
      </c>
      <c r="H414" s="1853" t="s">
        <v>1</v>
      </c>
      <c r="I414" s="1853" t="s">
        <v>641</v>
      </c>
    </row>
    <row r="415" spans="1:9" ht="11.25" customHeight="1">
      <c r="A415" s="1853" t="s">
        <v>2101</v>
      </c>
      <c r="B415" s="1853" t="s">
        <v>0</v>
      </c>
      <c r="C415" s="1853" t="s">
        <v>3518</v>
      </c>
      <c r="D415" s="1853" t="s">
        <v>3519</v>
      </c>
      <c r="E415" s="1853" t="s">
        <v>3520</v>
      </c>
      <c r="F415" s="1853" t="s">
        <v>3425</v>
      </c>
      <c r="G415" s="1853" t="s">
        <v>1</v>
      </c>
      <c r="H415" s="1853" t="s">
        <v>1</v>
      </c>
      <c r="I415" s="1853" t="s">
        <v>641</v>
      </c>
    </row>
    <row r="416" spans="1:9" ht="11.25" customHeight="1">
      <c r="A416" s="1853" t="s">
        <v>2101</v>
      </c>
      <c r="B416" s="1853" t="s">
        <v>0</v>
      </c>
      <c r="C416" s="1853" t="s">
        <v>3521</v>
      </c>
      <c r="D416" s="1853" t="s">
        <v>3522</v>
      </c>
      <c r="E416" s="1853" t="s">
        <v>3523</v>
      </c>
      <c r="F416" s="1853" t="s">
        <v>2230</v>
      </c>
      <c r="G416" s="1853" t="s">
        <v>3524</v>
      </c>
      <c r="H416" s="1853" t="s">
        <v>1</v>
      </c>
      <c r="I416" s="1853" t="s">
        <v>641</v>
      </c>
    </row>
    <row r="417" spans="1:9" ht="11.25" customHeight="1">
      <c r="A417" s="1853" t="s">
        <v>2101</v>
      </c>
      <c r="B417" s="1853" t="s">
        <v>0</v>
      </c>
      <c r="C417" s="1853" t="s">
        <v>3525</v>
      </c>
      <c r="D417" s="1853" t="s">
        <v>3526</v>
      </c>
      <c r="E417" s="1853" t="s">
        <v>3527</v>
      </c>
      <c r="F417" s="1853" t="s">
        <v>2105</v>
      </c>
      <c r="G417" s="1853" t="s">
        <v>1</v>
      </c>
      <c r="H417" s="1853" t="s">
        <v>1</v>
      </c>
      <c r="I417" s="1853" t="s">
        <v>641</v>
      </c>
    </row>
    <row r="418" spans="1:9" ht="11.25" customHeight="1">
      <c r="A418" s="1853" t="s">
        <v>2101</v>
      </c>
      <c r="B418" s="1853" t="s">
        <v>0</v>
      </c>
      <c r="C418" s="1853" t="s">
        <v>3528</v>
      </c>
      <c r="D418" s="1853" t="s">
        <v>3529</v>
      </c>
      <c r="E418" s="1853" t="s">
        <v>3530</v>
      </c>
      <c r="F418" s="1853" t="s">
        <v>2230</v>
      </c>
      <c r="G418" s="1853" t="s">
        <v>3531</v>
      </c>
      <c r="H418" s="1853" t="s">
        <v>1</v>
      </c>
      <c r="I418" s="1853" t="s">
        <v>641</v>
      </c>
    </row>
    <row r="419" spans="1:9" ht="11.25" customHeight="1">
      <c r="A419" s="1853" t="s">
        <v>2101</v>
      </c>
      <c r="B419" s="1853" t="s">
        <v>0</v>
      </c>
      <c r="C419" s="1853" t="s">
        <v>3532</v>
      </c>
      <c r="D419" s="1853" t="s">
        <v>3533</v>
      </c>
      <c r="E419" s="1853" t="s">
        <v>3534</v>
      </c>
      <c r="F419" s="1853" t="s">
        <v>3535</v>
      </c>
      <c r="G419" s="1853" t="s">
        <v>1</v>
      </c>
      <c r="H419" s="1853" t="s">
        <v>1</v>
      </c>
      <c r="I419" s="1853" t="s">
        <v>641</v>
      </c>
    </row>
    <row r="420" spans="1:9" ht="11.25" customHeight="1">
      <c r="A420" s="1853" t="s">
        <v>2101</v>
      </c>
      <c r="B420" s="1853" t="s">
        <v>0</v>
      </c>
      <c r="C420" s="1853" t="s">
        <v>3536</v>
      </c>
      <c r="D420" s="1853" t="s">
        <v>3537</v>
      </c>
      <c r="E420" s="1853" t="s">
        <v>3538</v>
      </c>
      <c r="F420" s="1853" t="s">
        <v>2222</v>
      </c>
      <c r="G420" s="1853" t="s">
        <v>1</v>
      </c>
      <c r="H420" s="1853" t="s">
        <v>1</v>
      </c>
      <c r="I420" s="1853" t="s">
        <v>641</v>
      </c>
    </row>
    <row r="421" spans="1:9" ht="11.25" customHeight="1">
      <c r="A421" s="1853" t="s">
        <v>2101</v>
      </c>
      <c r="B421" s="1853" t="s">
        <v>0</v>
      </c>
      <c r="C421" s="1853" t="s">
        <v>3539</v>
      </c>
      <c r="D421" s="1853" t="s">
        <v>3540</v>
      </c>
      <c r="E421" s="1853" t="s">
        <v>3541</v>
      </c>
      <c r="F421" s="1853" t="s">
        <v>2105</v>
      </c>
      <c r="G421" s="1853" t="s">
        <v>1</v>
      </c>
      <c r="H421" s="1853" t="s">
        <v>1</v>
      </c>
      <c r="I421" s="1853" t="s">
        <v>641</v>
      </c>
    </row>
    <row r="422" spans="1:9" ht="11.25" customHeight="1">
      <c r="A422" s="1853" t="s">
        <v>2101</v>
      </c>
      <c r="B422" s="1853" t="s">
        <v>0</v>
      </c>
      <c r="C422" s="1853" t="s">
        <v>3542</v>
      </c>
      <c r="D422" s="1853" t="s">
        <v>3543</v>
      </c>
      <c r="E422" s="1853" t="s">
        <v>3544</v>
      </c>
      <c r="F422" s="1853" t="s">
        <v>2182</v>
      </c>
      <c r="G422" s="1853" t="s">
        <v>1</v>
      </c>
      <c r="H422" s="1853" t="s">
        <v>3545</v>
      </c>
      <c r="I422" s="1853" t="s">
        <v>641</v>
      </c>
    </row>
    <row r="423" spans="1:9" ht="11.25" customHeight="1">
      <c r="A423" s="1853" t="s">
        <v>2101</v>
      </c>
      <c r="B423" s="1853" t="s">
        <v>0</v>
      </c>
      <c r="C423" s="1853" t="s">
        <v>3546</v>
      </c>
      <c r="D423" s="1853" t="s">
        <v>3547</v>
      </c>
      <c r="E423" s="1853" t="s">
        <v>3548</v>
      </c>
      <c r="F423" s="1853" t="s">
        <v>12</v>
      </c>
      <c r="G423" s="1853" t="s">
        <v>1</v>
      </c>
      <c r="H423" s="1853" t="s">
        <v>1</v>
      </c>
      <c r="I423" s="1853" t="s">
        <v>641</v>
      </c>
    </row>
    <row r="424" spans="1:9" ht="11.25" customHeight="1">
      <c r="A424" s="1853" t="s">
        <v>2101</v>
      </c>
      <c r="B424" s="1853" t="s">
        <v>0</v>
      </c>
      <c r="C424" s="1853" t="s">
        <v>3549</v>
      </c>
      <c r="D424" s="1853" t="s">
        <v>3550</v>
      </c>
      <c r="E424" s="1853" t="s">
        <v>3551</v>
      </c>
      <c r="F424" s="1853" t="s">
        <v>2173</v>
      </c>
      <c r="G424" s="1853" t="s">
        <v>3552</v>
      </c>
      <c r="H424" s="1853" t="s">
        <v>1</v>
      </c>
      <c r="I424" s="1853" t="s">
        <v>641</v>
      </c>
    </row>
    <row r="425" spans="1:9" ht="11.25" customHeight="1">
      <c r="A425" s="1853" t="s">
        <v>2101</v>
      </c>
      <c r="B425" s="1853" t="s">
        <v>0</v>
      </c>
      <c r="C425" s="1853" t="s">
        <v>3553</v>
      </c>
      <c r="D425" s="1853" t="s">
        <v>3554</v>
      </c>
      <c r="E425" s="1853" t="s">
        <v>3555</v>
      </c>
      <c r="F425" s="1853" t="s">
        <v>2528</v>
      </c>
      <c r="G425" s="1853" t="s">
        <v>1</v>
      </c>
      <c r="H425" s="1853" t="s">
        <v>1</v>
      </c>
      <c r="I425" s="1853" t="s">
        <v>641</v>
      </c>
    </row>
    <row r="426" spans="1:9" ht="11.25" customHeight="1">
      <c r="A426" s="1853" t="s">
        <v>2101</v>
      </c>
      <c r="B426" s="1853" t="s">
        <v>0</v>
      </c>
      <c r="C426" s="1853" t="s">
        <v>3556</v>
      </c>
      <c r="D426" s="1853" t="s">
        <v>3557</v>
      </c>
      <c r="E426" s="1853" t="s">
        <v>3558</v>
      </c>
      <c r="F426" s="1853" t="s">
        <v>2329</v>
      </c>
      <c r="G426" s="1853" t="s">
        <v>1</v>
      </c>
      <c r="H426" s="1853" t="s">
        <v>1</v>
      </c>
      <c r="I426" s="1853" t="s">
        <v>641</v>
      </c>
    </row>
    <row r="427" spans="1:9" ht="11.25" customHeight="1">
      <c r="A427" s="1853" t="s">
        <v>2101</v>
      </c>
      <c r="B427" s="1853" t="s">
        <v>0</v>
      </c>
      <c r="C427" s="1853" t="s">
        <v>3559</v>
      </c>
      <c r="D427" s="1853" t="s">
        <v>3560</v>
      </c>
      <c r="E427" s="1853" t="s">
        <v>3561</v>
      </c>
      <c r="F427" s="1853" t="s">
        <v>2329</v>
      </c>
      <c r="G427" s="1853" t="s">
        <v>1</v>
      </c>
      <c r="H427" s="1853" t="s">
        <v>1</v>
      </c>
      <c r="I427" s="1853" t="s">
        <v>641</v>
      </c>
    </row>
    <row r="428" spans="1:9" ht="11.25" customHeight="1">
      <c r="A428" s="1853" t="s">
        <v>2101</v>
      </c>
      <c r="B428" s="1853" t="s">
        <v>0</v>
      </c>
      <c r="C428" s="1853" t="s">
        <v>3562</v>
      </c>
      <c r="D428" s="1853" t="s">
        <v>3563</v>
      </c>
      <c r="E428" s="1853" t="s">
        <v>3564</v>
      </c>
      <c r="F428" s="1853" t="s">
        <v>12</v>
      </c>
      <c r="G428" s="1853" t="s">
        <v>1</v>
      </c>
      <c r="H428" s="1853" t="s">
        <v>1</v>
      </c>
      <c r="I428" s="1853" t="s">
        <v>641</v>
      </c>
    </row>
    <row r="429" spans="1:9" ht="11.25" customHeight="1">
      <c r="A429" s="1853" t="s">
        <v>2101</v>
      </c>
      <c r="B429" s="1853" t="s">
        <v>0</v>
      </c>
      <c r="C429" s="1853" t="s">
        <v>3565</v>
      </c>
      <c r="D429" s="1853" t="s">
        <v>3566</v>
      </c>
      <c r="E429" s="1853" t="s">
        <v>3567</v>
      </c>
      <c r="F429" s="1853" t="s">
        <v>2222</v>
      </c>
      <c r="G429" s="1853" t="s">
        <v>1</v>
      </c>
      <c r="H429" s="1853" t="s">
        <v>1</v>
      </c>
      <c r="I429" s="1853" t="s">
        <v>641</v>
      </c>
    </row>
    <row r="430" spans="1:9" ht="11.25" customHeight="1">
      <c r="A430" s="1853" t="s">
        <v>2101</v>
      </c>
      <c r="B430" s="1853" t="s">
        <v>0</v>
      </c>
      <c r="C430" s="1853" t="s">
        <v>3568</v>
      </c>
      <c r="D430" s="1853" t="s">
        <v>3569</v>
      </c>
      <c r="E430" s="1853" t="s">
        <v>3570</v>
      </c>
      <c r="F430" s="1853" t="s">
        <v>2203</v>
      </c>
      <c r="G430" s="1853" t="s">
        <v>1</v>
      </c>
      <c r="H430" s="1853" t="s">
        <v>1</v>
      </c>
      <c r="I430" s="1853" t="s">
        <v>641</v>
      </c>
    </row>
    <row r="431" spans="1:9" ht="11.25" customHeight="1">
      <c r="A431" s="1853" t="s">
        <v>2101</v>
      </c>
      <c r="B431" s="1853" t="s">
        <v>0</v>
      </c>
      <c r="C431" s="1853" t="s">
        <v>3571</v>
      </c>
      <c r="D431" s="1853" t="s">
        <v>3572</v>
      </c>
      <c r="E431" s="1853" t="s">
        <v>3573</v>
      </c>
      <c r="F431" s="1853" t="s">
        <v>2222</v>
      </c>
      <c r="G431" s="1853" t="s">
        <v>3574</v>
      </c>
      <c r="H431" s="1853" t="s">
        <v>1</v>
      </c>
      <c r="I431" s="1853" t="s">
        <v>641</v>
      </c>
    </row>
    <row r="432" spans="1:9" ht="11.25" customHeight="1">
      <c r="A432" s="1853" t="s">
        <v>2101</v>
      </c>
      <c r="B432" s="1853" t="s">
        <v>0</v>
      </c>
      <c r="C432" s="1853" t="s">
        <v>3575</v>
      </c>
      <c r="D432" s="1853" t="s">
        <v>3576</v>
      </c>
      <c r="E432" s="1853" t="s">
        <v>3577</v>
      </c>
      <c r="F432" s="1853" t="s">
        <v>12</v>
      </c>
      <c r="G432" s="1853" t="s">
        <v>3578</v>
      </c>
      <c r="H432" s="1853" t="s">
        <v>1</v>
      </c>
      <c r="I432" s="1853" t="s">
        <v>641</v>
      </c>
    </row>
    <row r="433" spans="1:9" ht="11.25" customHeight="1">
      <c r="A433" s="1853" t="s">
        <v>2101</v>
      </c>
      <c r="B433" s="1853" t="s">
        <v>0</v>
      </c>
      <c r="C433" s="1853" t="s">
        <v>3579</v>
      </c>
      <c r="D433" s="1853" t="s">
        <v>3580</v>
      </c>
      <c r="E433" s="1853" t="s">
        <v>3581</v>
      </c>
      <c r="F433" s="1853" t="s">
        <v>2196</v>
      </c>
      <c r="G433" s="1853" t="s">
        <v>3582</v>
      </c>
      <c r="H433" s="1853" t="s">
        <v>1</v>
      </c>
      <c r="I433" s="1853" t="s">
        <v>641</v>
      </c>
    </row>
    <row r="434" spans="1:9" ht="11.25" customHeight="1">
      <c r="A434" s="1853" t="s">
        <v>2101</v>
      </c>
      <c r="B434" s="1853" t="s">
        <v>0</v>
      </c>
      <c r="C434" s="1853" t="s">
        <v>3583</v>
      </c>
      <c r="D434" s="1853" t="s">
        <v>3584</v>
      </c>
      <c r="E434" s="1853" t="s">
        <v>3585</v>
      </c>
      <c r="F434" s="1853" t="s">
        <v>2178</v>
      </c>
      <c r="G434" s="1853" t="s">
        <v>1</v>
      </c>
      <c r="H434" s="1853" t="s">
        <v>1</v>
      </c>
      <c r="I434" s="1853" t="s">
        <v>641</v>
      </c>
    </row>
    <row r="435" spans="1:9" ht="11.25" customHeight="1">
      <c r="A435" s="1853" t="s">
        <v>2101</v>
      </c>
      <c r="B435" s="1853" t="s">
        <v>0</v>
      </c>
      <c r="C435" s="1853" t="s">
        <v>3586</v>
      </c>
      <c r="D435" s="1853" t="s">
        <v>3587</v>
      </c>
      <c r="E435" s="1853" t="s">
        <v>3588</v>
      </c>
      <c r="F435" s="1853" t="s">
        <v>3589</v>
      </c>
      <c r="G435" s="1853" t="s">
        <v>1</v>
      </c>
      <c r="H435" s="1853" t="s">
        <v>1</v>
      </c>
      <c r="I435" s="1853" t="s">
        <v>641</v>
      </c>
    </row>
    <row r="436" spans="1:9" ht="11.25" customHeight="1">
      <c r="A436" s="1853" t="s">
        <v>2101</v>
      </c>
      <c r="B436" s="1853" t="s">
        <v>0</v>
      </c>
      <c r="C436" s="1853" t="s">
        <v>3590</v>
      </c>
      <c r="D436" s="1853" t="s">
        <v>3591</v>
      </c>
      <c r="E436" s="1853" t="s">
        <v>3592</v>
      </c>
      <c r="F436" s="1853" t="s">
        <v>3593</v>
      </c>
      <c r="G436" s="1853" t="s">
        <v>1</v>
      </c>
      <c r="H436" s="1853" t="s">
        <v>1</v>
      </c>
      <c r="I436" s="1853" t="s">
        <v>641</v>
      </c>
    </row>
    <row r="437" spans="1:9" ht="11.25" customHeight="1">
      <c r="A437" s="1853" t="s">
        <v>2101</v>
      </c>
      <c r="B437" s="1853" t="s">
        <v>0</v>
      </c>
      <c r="C437" s="1853" t="s">
        <v>3594</v>
      </c>
      <c r="D437" s="1853" t="s">
        <v>3595</v>
      </c>
      <c r="E437" s="1853" t="s">
        <v>3596</v>
      </c>
      <c r="F437" s="1853" t="s">
        <v>2424</v>
      </c>
      <c r="G437" s="1853" t="s">
        <v>3597</v>
      </c>
      <c r="H437" s="1853" t="s">
        <v>1</v>
      </c>
      <c r="I437" s="1853" t="s">
        <v>641</v>
      </c>
    </row>
    <row r="438" spans="1:9" ht="11.25" customHeight="1">
      <c r="A438" s="1853" t="s">
        <v>2101</v>
      </c>
      <c r="B438" s="1853" t="s">
        <v>0</v>
      </c>
      <c r="C438" s="1853" t="s">
        <v>3598</v>
      </c>
      <c r="D438" s="1853" t="s">
        <v>3599</v>
      </c>
      <c r="E438" s="1853" t="s">
        <v>3600</v>
      </c>
      <c r="F438" s="1853" t="s">
        <v>2178</v>
      </c>
      <c r="G438" s="1853" t="s">
        <v>1</v>
      </c>
      <c r="H438" s="1853" t="s">
        <v>1</v>
      </c>
      <c r="I438" s="1853" t="s">
        <v>641</v>
      </c>
    </row>
    <row r="439" spans="1:9" ht="11.25" customHeight="1">
      <c r="A439" s="1853" t="s">
        <v>2101</v>
      </c>
      <c r="B439" s="1853" t="s">
        <v>0</v>
      </c>
      <c r="C439" s="1853" t="s">
        <v>3601</v>
      </c>
      <c r="D439" s="1853" t="s">
        <v>3602</v>
      </c>
      <c r="E439" s="1853" t="s">
        <v>3603</v>
      </c>
      <c r="F439" s="1853" t="s">
        <v>2424</v>
      </c>
      <c r="G439" s="1853" t="s">
        <v>1</v>
      </c>
      <c r="H439" s="1853" t="s">
        <v>1</v>
      </c>
      <c r="I439" s="1853" t="s">
        <v>641</v>
      </c>
    </row>
    <row r="440" spans="1:9" ht="11.25" customHeight="1">
      <c r="A440" s="1853" t="s">
        <v>2101</v>
      </c>
      <c r="B440" s="1853" t="s">
        <v>0</v>
      </c>
      <c r="C440" s="1853" t="s">
        <v>3604</v>
      </c>
      <c r="D440" s="1853" t="s">
        <v>3605</v>
      </c>
      <c r="E440" s="1853" t="s">
        <v>3606</v>
      </c>
      <c r="F440" s="1853" t="s">
        <v>2329</v>
      </c>
      <c r="G440" s="1853" t="s">
        <v>1</v>
      </c>
      <c r="H440" s="1853" t="s">
        <v>1</v>
      </c>
      <c r="I440" s="1853" t="s">
        <v>641</v>
      </c>
    </row>
    <row r="441" spans="1:9" ht="11.25" customHeight="1">
      <c r="A441" s="1853" t="s">
        <v>2101</v>
      </c>
      <c r="B441" s="1853" t="s">
        <v>0</v>
      </c>
      <c r="C441" s="1853" t="s">
        <v>3607</v>
      </c>
      <c r="D441" s="1853" t="s">
        <v>3608</v>
      </c>
      <c r="E441" s="1853" t="s">
        <v>3609</v>
      </c>
      <c r="F441" s="1853" t="s">
        <v>12</v>
      </c>
      <c r="G441" s="1853" t="s">
        <v>1</v>
      </c>
      <c r="H441" s="1853" t="s">
        <v>1</v>
      </c>
      <c r="I441" s="1853" t="s">
        <v>641</v>
      </c>
    </row>
    <row r="442" spans="1:9" ht="11.25" customHeight="1">
      <c r="A442" s="1853" t="s">
        <v>2101</v>
      </c>
      <c r="B442" s="1853" t="s">
        <v>0</v>
      </c>
      <c r="C442" s="1853" t="s">
        <v>3610</v>
      </c>
      <c r="D442" s="1853" t="s">
        <v>3611</v>
      </c>
      <c r="E442" s="1853" t="s">
        <v>3612</v>
      </c>
      <c r="F442" s="1853" t="s">
        <v>2683</v>
      </c>
      <c r="G442" s="1853" t="s">
        <v>1</v>
      </c>
      <c r="H442" s="1853" t="s">
        <v>1</v>
      </c>
      <c r="I442" s="1853" t="s">
        <v>641</v>
      </c>
    </row>
    <row r="443" spans="1:9" ht="11.25" customHeight="1">
      <c r="A443" s="1853" t="s">
        <v>2101</v>
      </c>
      <c r="B443" s="1853" t="s">
        <v>0</v>
      </c>
      <c r="C443" s="1853" t="s">
        <v>3613</v>
      </c>
      <c r="D443" s="1853" t="s">
        <v>3614</v>
      </c>
      <c r="E443" s="1853" t="s">
        <v>3615</v>
      </c>
      <c r="F443" s="1853" t="s">
        <v>12</v>
      </c>
      <c r="G443" s="1853" t="s">
        <v>1</v>
      </c>
      <c r="H443" s="1853" t="s">
        <v>1</v>
      </c>
      <c r="I443" s="1853" t="s">
        <v>641</v>
      </c>
    </row>
    <row r="444" spans="1:9" ht="11.25" customHeight="1">
      <c r="A444" s="1853" t="s">
        <v>2101</v>
      </c>
      <c r="B444" s="1853" t="s">
        <v>0</v>
      </c>
      <c r="C444" s="1853" t="s">
        <v>3616</v>
      </c>
      <c r="D444" s="1853" t="s">
        <v>3617</v>
      </c>
      <c r="E444" s="1853" t="s">
        <v>3618</v>
      </c>
      <c r="F444" s="1853" t="s">
        <v>3619</v>
      </c>
      <c r="G444" s="1853" t="s">
        <v>1</v>
      </c>
      <c r="H444" s="1853" t="s">
        <v>1</v>
      </c>
      <c r="I444" s="1853" t="s">
        <v>641</v>
      </c>
    </row>
    <row r="445" spans="1:9" ht="11.25" customHeight="1">
      <c r="A445" s="1853" t="s">
        <v>2101</v>
      </c>
      <c r="B445" s="1853" t="s">
        <v>0</v>
      </c>
      <c r="C445" s="1853" t="s">
        <v>3620</v>
      </c>
      <c r="D445" s="1853" t="s">
        <v>3621</v>
      </c>
      <c r="E445" s="1853" t="s">
        <v>3622</v>
      </c>
      <c r="F445" s="1853" t="s">
        <v>2230</v>
      </c>
      <c r="G445" s="1853" t="s">
        <v>1</v>
      </c>
      <c r="H445" s="1853" t="s">
        <v>1</v>
      </c>
      <c r="I445" s="1853" t="s">
        <v>641</v>
      </c>
    </row>
    <row r="446" spans="1:9" ht="11.25" customHeight="1">
      <c r="A446" s="1853" t="s">
        <v>2101</v>
      </c>
      <c r="B446" s="1853" t="s">
        <v>0</v>
      </c>
      <c r="C446" s="1853" t="s">
        <v>3623</v>
      </c>
      <c r="D446" s="1853" t="s">
        <v>3624</v>
      </c>
      <c r="E446" s="1853" t="s">
        <v>3625</v>
      </c>
      <c r="F446" s="1853" t="s">
        <v>2141</v>
      </c>
      <c r="G446" s="1853" t="s">
        <v>1</v>
      </c>
      <c r="H446" s="1853" t="s">
        <v>1</v>
      </c>
      <c r="I446" s="1853" t="s">
        <v>641</v>
      </c>
    </row>
    <row r="447" spans="1:9" ht="11.25" customHeight="1">
      <c r="A447" s="1853" t="s">
        <v>2101</v>
      </c>
      <c r="B447" s="1853" t="s">
        <v>0</v>
      </c>
      <c r="C447" s="1853" t="s">
        <v>3626</v>
      </c>
      <c r="D447" s="1853" t="s">
        <v>3627</v>
      </c>
      <c r="E447" s="1853" t="s">
        <v>3628</v>
      </c>
      <c r="F447" s="1853" t="s">
        <v>3501</v>
      </c>
      <c r="G447" s="1853" t="s">
        <v>3629</v>
      </c>
      <c r="H447" s="1853" t="s">
        <v>3630</v>
      </c>
      <c r="I447" s="1853" t="s">
        <v>641</v>
      </c>
    </row>
    <row r="448" spans="1:9" ht="11.25" customHeight="1">
      <c r="A448" s="1853" t="s">
        <v>2101</v>
      </c>
      <c r="B448" s="1853" t="s">
        <v>0</v>
      </c>
      <c r="C448" s="1853" t="s">
        <v>3631</v>
      </c>
      <c r="D448" s="1853" t="s">
        <v>3632</v>
      </c>
      <c r="E448" s="1853" t="s">
        <v>3633</v>
      </c>
      <c r="F448" s="1853" t="s">
        <v>2141</v>
      </c>
      <c r="G448" s="1853" t="s">
        <v>3634</v>
      </c>
      <c r="H448" s="1853" t="s">
        <v>1</v>
      </c>
      <c r="I448" s="1853" t="s">
        <v>641</v>
      </c>
    </row>
    <row r="449" spans="1:9" ht="11.25" customHeight="1">
      <c r="A449" s="1853" t="s">
        <v>2101</v>
      </c>
      <c r="B449" s="1853" t="s">
        <v>0</v>
      </c>
      <c r="C449" s="1853" t="s">
        <v>3635</v>
      </c>
      <c r="D449" s="1853" t="s">
        <v>3636</v>
      </c>
      <c r="E449" s="1853" t="s">
        <v>3637</v>
      </c>
      <c r="F449" s="1853" t="s">
        <v>2173</v>
      </c>
      <c r="G449" s="1853" t="s">
        <v>1</v>
      </c>
      <c r="H449" s="1853" t="s">
        <v>1</v>
      </c>
      <c r="I449" s="1853" t="s">
        <v>641</v>
      </c>
    </row>
    <row r="450" spans="1:9" ht="11.25" customHeight="1">
      <c r="A450" s="1853" t="s">
        <v>2101</v>
      </c>
      <c r="B450" s="1853" t="s">
        <v>0</v>
      </c>
      <c r="C450" s="1853" t="s">
        <v>3638</v>
      </c>
      <c r="D450" s="1853" t="s">
        <v>3639</v>
      </c>
      <c r="E450" s="1853" t="s">
        <v>3640</v>
      </c>
      <c r="F450" s="1853" t="s">
        <v>2230</v>
      </c>
      <c r="G450" s="1853" t="s">
        <v>1</v>
      </c>
      <c r="H450" s="1853" t="s">
        <v>1</v>
      </c>
      <c r="I450" s="1853" t="s">
        <v>641</v>
      </c>
    </row>
    <row r="451" spans="1:9" ht="11.25" customHeight="1">
      <c r="A451" s="1853" t="s">
        <v>2101</v>
      </c>
      <c r="B451" s="1853" t="s">
        <v>0</v>
      </c>
      <c r="C451" s="1853" t="s">
        <v>3641</v>
      </c>
      <c r="D451" s="1853" t="s">
        <v>3642</v>
      </c>
      <c r="E451" s="1853" t="s">
        <v>3643</v>
      </c>
      <c r="F451" s="1853" t="s">
        <v>2230</v>
      </c>
      <c r="G451" s="1853" t="s">
        <v>3644</v>
      </c>
      <c r="H451" s="1853" t="s">
        <v>1</v>
      </c>
      <c r="I451" s="1853" t="s">
        <v>641</v>
      </c>
    </row>
    <row r="452" spans="1:9" ht="11.25" customHeight="1">
      <c r="A452" s="1853" t="s">
        <v>2101</v>
      </c>
      <c r="B452" s="1853" t="s">
        <v>0</v>
      </c>
      <c r="C452" s="1853" t="s">
        <v>3645</v>
      </c>
      <c r="D452" s="1853" t="s">
        <v>3646</v>
      </c>
      <c r="E452" s="1853" t="s">
        <v>3647</v>
      </c>
      <c r="F452" s="1853" t="s">
        <v>2230</v>
      </c>
      <c r="G452" s="1853" t="s">
        <v>1</v>
      </c>
      <c r="H452" s="1853" t="s">
        <v>1</v>
      </c>
      <c r="I452" s="1853" t="s">
        <v>641</v>
      </c>
    </row>
    <row r="453" spans="1:9" ht="11.25" customHeight="1">
      <c r="A453" s="1853" t="s">
        <v>2101</v>
      </c>
      <c r="B453" s="1853" t="s">
        <v>0</v>
      </c>
      <c r="C453" s="1853" t="s">
        <v>3648</v>
      </c>
      <c r="D453" s="1853" t="s">
        <v>3649</v>
      </c>
      <c r="E453" s="1853" t="s">
        <v>3650</v>
      </c>
      <c r="F453" s="1853" t="s">
        <v>2159</v>
      </c>
      <c r="G453" s="1853" t="s">
        <v>1</v>
      </c>
      <c r="H453" s="1853" t="s">
        <v>1</v>
      </c>
      <c r="I453" s="1853" t="s">
        <v>641</v>
      </c>
    </row>
    <row r="454" spans="1:9" ht="11.25" customHeight="1">
      <c r="A454" s="1853" t="s">
        <v>2101</v>
      </c>
      <c r="B454" s="1853" t="s">
        <v>0</v>
      </c>
      <c r="C454" s="1853" t="s">
        <v>3651</v>
      </c>
      <c r="D454" s="1853" t="s">
        <v>3652</v>
      </c>
      <c r="E454" s="1853" t="s">
        <v>3653</v>
      </c>
      <c r="F454" s="1853" t="s">
        <v>2178</v>
      </c>
      <c r="G454" s="1853" t="s">
        <v>1</v>
      </c>
      <c r="H454" s="1853" t="s">
        <v>1</v>
      </c>
      <c r="I454" s="1853" t="s">
        <v>641</v>
      </c>
    </row>
    <row r="455" spans="1:9" ht="11.25" customHeight="1">
      <c r="A455" s="1853" t="s">
        <v>2101</v>
      </c>
      <c r="B455" s="1853" t="s">
        <v>0</v>
      </c>
      <c r="C455" s="1853" t="s">
        <v>3654</v>
      </c>
      <c r="D455" s="1853" t="s">
        <v>3655</v>
      </c>
      <c r="E455" s="1853" t="s">
        <v>3656</v>
      </c>
      <c r="F455" s="1853" t="s">
        <v>2613</v>
      </c>
      <c r="G455" s="1853" t="s">
        <v>3657</v>
      </c>
      <c r="H455" s="1853" t="s">
        <v>1</v>
      </c>
      <c r="I455" s="1853" t="s">
        <v>641</v>
      </c>
    </row>
    <row r="456" spans="1:9" ht="11.25" customHeight="1">
      <c r="A456" s="1853" t="s">
        <v>2101</v>
      </c>
      <c r="B456" s="1853" t="s">
        <v>0</v>
      </c>
      <c r="C456" s="1853" t="s">
        <v>3658</v>
      </c>
      <c r="D456" s="1853" t="s">
        <v>3659</v>
      </c>
      <c r="E456" s="1853" t="s">
        <v>3660</v>
      </c>
      <c r="F456" s="1853" t="s">
        <v>2222</v>
      </c>
      <c r="G456" s="1853" t="s">
        <v>1</v>
      </c>
      <c r="H456" s="1853" t="s">
        <v>1</v>
      </c>
      <c r="I456" s="1853" t="s">
        <v>641</v>
      </c>
    </row>
    <row r="457" spans="1:9" ht="11.25" customHeight="1">
      <c r="A457" s="1853" t="s">
        <v>2101</v>
      </c>
      <c r="B457" s="1853" t="s">
        <v>0</v>
      </c>
      <c r="C457" s="1853" t="s">
        <v>3661</v>
      </c>
      <c r="D457" s="1853" t="s">
        <v>3662</v>
      </c>
      <c r="E457" s="1853" t="s">
        <v>3663</v>
      </c>
      <c r="F457" s="1853" t="s">
        <v>2191</v>
      </c>
      <c r="G457" s="1853" t="s">
        <v>2795</v>
      </c>
      <c r="H457" s="1853" t="s">
        <v>1</v>
      </c>
      <c r="I457" s="1853" t="s">
        <v>641</v>
      </c>
    </row>
    <row r="458" spans="1:9" ht="11.25" customHeight="1">
      <c r="A458" s="1853" t="s">
        <v>2101</v>
      </c>
      <c r="B458" s="1853" t="s">
        <v>0</v>
      </c>
      <c r="C458" s="1853" t="s">
        <v>3664</v>
      </c>
      <c r="D458" s="1853" t="s">
        <v>3665</v>
      </c>
      <c r="E458" s="1853" t="s">
        <v>3666</v>
      </c>
      <c r="F458" s="1853" t="s">
        <v>3087</v>
      </c>
      <c r="G458" s="1853" t="s">
        <v>3667</v>
      </c>
      <c r="H458" s="1853" t="s">
        <v>1</v>
      </c>
      <c r="I458" s="1853" t="s">
        <v>641</v>
      </c>
    </row>
    <row r="459" spans="1:9" ht="11.25" customHeight="1">
      <c r="A459" s="1853" t="s">
        <v>2101</v>
      </c>
      <c r="B459" s="1853" t="s">
        <v>0</v>
      </c>
      <c r="C459" s="1853" t="s">
        <v>3668</v>
      </c>
      <c r="D459" s="1853" t="s">
        <v>3669</v>
      </c>
      <c r="E459" s="1853" t="s">
        <v>3670</v>
      </c>
      <c r="F459" s="1853" t="s">
        <v>2416</v>
      </c>
      <c r="G459" s="1853" t="s">
        <v>3671</v>
      </c>
      <c r="H459" s="1853" t="s">
        <v>1</v>
      </c>
      <c r="I459" s="1853" t="s">
        <v>641</v>
      </c>
    </row>
    <row r="460" spans="1:9" ht="11.25" customHeight="1">
      <c r="A460" s="1853" t="s">
        <v>2101</v>
      </c>
      <c r="B460" s="1853" t="s">
        <v>0</v>
      </c>
      <c r="C460" s="1853" t="s">
        <v>3672</v>
      </c>
      <c r="D460" s="1853" t="s">
        <v>3673</v>
      </c>
      <c r="E460" s="1853" t="s">
        <v>3674</v>
      </c>
      <c r="F460" s="1853" t="s">
        <v>12</v>
      </c>
      <c r="G460" s="1853" t="s">
        <v>3675</v>
      </c>
      <c r="H460" s="1853" t="s">
        <v>1</v>
      </c>
      <c r="I460" s="1853" t="s">
        <v>641</v>
      </c>
    </row>
    <row r="461" spans="1:9" ht="11.25" customHeight="1">
      <c r="A461" s="1853" t="s">
        <v>2101</v>
      </c>
      <c r="B461" s="1853" t="s">
        <v>0</v>
      </c>
      <c r="C461" s="1853" t="s">
        <v>3676</v>
      </c>
      <c r="D461" s="1853" t="s">
        <v>3677</v>
      </c>
      <c r="E461" s="1853" t="s">
        <v>3678</v>
      </c>
      <c r="F461" s="1853" t="s">
        <v>2230</v>
      </c>
      <c r="G461" s="1853" t="s">
        <v>3679</v>
      </c>
      <c r="H461" s="1853" t="s">
        <v>1</v>
      </c>
      <c r="I461" s="1853" t="s">
        <v>641</v>
      </c>
    </row>
    <row r="462" spans="1:9" ht="11.25" customHeight="1">
      <c r="A462" s="1853" t="s">
        <v>2101</v>
      </c>
      <c r="B462" s="1853" t="s">
        <v>0</v>
      </c>
      <c r="C462" s="1853" t="s">
        <v>3680</v>
      </c>
      <c r="D462" s="1853" t="s">
        <v>3681</v>
      </c>
      <c r="E462" s="1853" t="s">
        <v>3682</v>
      </c>
      <c r="F462" s="1853" t="s">
        <v>2149</v>
      </c>
      <c r="G462" s="1853" t="s">
        <v>1</v>
      </c>
      <c r="H462" s="1853" t="s">
        <v>1</v>
      </c>
      <c r="I462" s="1853" t="s">
        <v>641</v>
      </c>
    </row>
    <row r="463" spans="1:9" ht="11.25" customHeight="1">
      <c r="A463" s="1853" t="s">
        <v>2101</v>
      </c>
      <c r="B463" s="1853" t="s">
        <v>0</v>
      </c>
      <c r="C463" s="1853" t="s">
        <v>3683</v>
      </c>
      <c r="D463" s="1853" t="s">
        <v>3684</v>
      </c>
      <c r="E463" s="1853" t="s">
        <v>3685</v>
      </c>
      <c r="F463" s="1853" t="s">
        <v>12</v>
      </c>
      <c r="G463" s="1853" t="s">
        <v>3686</v>
      </c>
      <c r="H463" s="1853" t="s">
        <v>1</v>
      </c>
      <c r="I463" s="1853" t="s">
        <v>641</v>
      </c>
    </row>
    <row r="464" spans="1:9" ht="11.25" customHeight="1">
      <c r="A464" s="1853" t="s">
        <v>2101</v>
      </c>
      <c r="B464" s="1853" t="s">
        <v>0</v>
      </c>
      <c r="C464" s="1853" t="s">
        <v>3687</v>
      </c>
      <c r="D464" s="1853" t="s">
        <v>3688</v>
      </c>
      <c r="E464" s="1853" t="s">
        <v>3689</v>
      </c>
      <c r="F464" s="1853" t="s">
        <v>2568</v>
      </c>
      <c r="G464" s="1853" t="s">
        <v>1</v>
      </c>
      <c r="H464" s="1853" t="s">
        <v>1</v>
      </c>
      <c r="I464" s="1853" t="s">
        <v>641</v>
      </c>
    </row>
    <row r="465" spans="1:9" ht="11.25" customHeight="1">
      <c r="A465" s="1853" t="s">
        <v>2101</v>
      </c>
      <c r="B465" s="1853" t="s">
        <v>0</v>
      </c>
      <c r="C465" s="1853" t="s">
        <v>3690</v>
      </c>
      <c r="D465" s="1853" t="s">
        <v>3691</v>
      </c>
      <c r="E465" s="1853" t="s">
        <v>3692</v>
      </c>
      <c r="F465" s="1853" t="s">
        <v>2741</v>
      </c>
      <c r="G465" s="1853" t="s">
        <v>1</v>
      </c>
      <c r="H465" s="1853" t="s">
        <v>1</v>
      </c>
      <c r="I465" s="1853" t="s">
        <v>641</v>
      </c>
    </row>
    <row r="466" spans="1:9" ht="11.25" customHeight="1">
      <c r="A466" s="1853" t="s">
        <v>2101</v>
      </c>
      <c r="B466" s="1853" t="s">
        <v>0</v>
      </c>
      <c r="C466" s="1853" t="s">
        <v>3693</v>
      </c>
      <c r="D466" s="1853" t="s">
        <v>3694</v>
      </c>
      <c r="E466" s="1853" t="s">
        <v>3695</v>
      </c>
      <c r="F466" s="1853" t="s">
        <v>12</v>
      </c>
      <c r="G466" s="1853" t="s">
        <v>1</v>
      </c>
      <c r="H466" s="1853" t="s">
        <v>1</v>
      </c>
      <c r="I466" s="1853" t="s">
        <v>641</v>
      </c>
    </row>
    <row r="467" spans="1:9" ht="11.25" customHeight="1">
      <c r="A467" s="1853" t="s">
        <v>2101</v>
      </c>
      <c r="B467" s="1853" t="s">
        <v>0</v>
      </c>
      <c r="C467" s="1853" t="s">
        <v>3696</v>
      </c>
      <c r="D467" s="1853" t="s">
        <v>3697</v>
      </c>
      <c r="E467" s="1853" t="s">
        <v>3698</v>
      </c>
      <c r="F467" s="1853" t="s">
        <v>2222</v>
      </c>
      <c r="G467" s="1853" t="s">
        <v>1</v>
      </c>
      <c r="H467" s="1853" t="s">
        <v>1</v>
      </c>
      <c r="I467" s="1853" t="s">
        <v>641</v>
      </c>
    </row>
    <row r="468" spans="1:9" ht="11.25" customHeight="1">
      <c r="A468" s="1853" t="s">
        <v>2101</v>
      </c>
      <c r="B468" s="1853" t="s">
        <v>0</v>
      </c>
      <c r="C468" s="1853" t="s">
        <v>3699</v>
      </c>
      <c r="D468" s="1853" t="s">
        <v>3700</v>
      </c>
      <c r="E468" s="1853" t="s">
        <v>3701</v>
      </c>
      <c r="F468" s="1853" t="s">
        <v>2329</v>
      </c>
      <c r="G468" s="1853" t="s">
        <v>1</v>
      </c>
      <c r="H468" s="1853" t="s">
        <v>1</v>
      </c>
      <c r="I468" s="1853" t="s">
        <v>641</v>
      </c>
    </row>
    <row r="469" spans="1:9" ht="11.25" customHeight="1">
      <c r="A469" s="1853" t="s">
        <v>2101</v>
      </c>
      <c r="B469" s="1853" t="s">
        <v>0</v>
      </c>
      <c r="C469" s="1853" t="s">
        <v>3702</v>
      </c>
      <c r="D469" s="1853" t="s">
        <v>3703</v>
      </c>
      <c r="E469" s="1853" t="s">
        <v>3704</v>
      </c>
      <c r="F469" s="1853" t="s">
        <v>2141</v>
      </c>
      <c r="G469" s="1853" t="s">
        <v>3705</v>
      </c>
      <c r="H469" s="1853" t="s">
        <v>1</v>
      </c>
      <c r="I469" s="1853" t="s">
        <v>641</v>
      </c>
    </row>
    <row r="470" spans="1:9" ht="11.25" customHeight="1">
      <c r="A470" s="1853" t="s">
        <v>2101</v>
      </c>
      <c r="B470" s="1853" t="s">
        <v>0</v>
      </c>
      <c r="C470" s="1853" t="s">
        <v>3706</v>
      </c>
      <c r="D470" s="1853" t="s">
        <v>3707</v>
      </c>
      <c r="E470" s="1853" t="s">
        <v>3708</v>
      </c>
      <c r="F470" s="1853" t="s">
        <v>2424</v>
      </c>
      <c r="G470" s="1853" t="s">
        <v>3709</v>
      </c>
      <c r="H470" s="1853" t="s">
        <v>1</v>
      </c>
      <c r="I470" s="1853" t="s">
        <v>641</v>
      </c>
    </row>
    <row r="471" spans="1:9" ht="11.25" customHeight="1">
      <c r="A471" s="1853" t="s">
        <v>2101</v>
      </c>
      <c r="B471" s="1853" t="s">
        <v>0</v>
      </c>
      <c r="C471" s="1853" t="s">
        <v>3710</v>
      </c>
      <c r="D471" s="1853" t="s">
        <v>3711</v>
      </c>
      <c r="E471" s="1853" t="s">
        <v>3712</v>
      </c>
      <c r="F471" s="1853" t="s">
        <v>2149</v>
      </c>
      <c r="G471" s="1853" t="s">
        <v>1</v>
      </c>
      <c r="H471" s="1853" t="s">
        <v>3713</v>
      </c>
      <c r="I471" s="1853" t="s">
        <v>641</v>
      </c>
    </row>
    <row r="472" spans="1:9" ht="11.25" customHeight="1">
      <c r="A472" s="1853" t="s">
        <v>2101</v>
      </c>
      <c r="B472" s="1853" t="s">
        <v>0</v>
      </c>
      <c r="C472" s="1853" t="s">
        <v>3714</v>
      </c>
      <c r="D472" s="1853" t="s">
        <v>3715</v>
      </c>
      <c r="E472" s="1853" t="s">
        <v>3716</v>
      </c>
      <c r="F472" s="1853" t="s">
        <v>2416</v>
      </c>
      <c r="G472" s="1853" t="s">
        <v>1</v>
      </c>
      <c r="H472" s="1853" t="s">
        <v>1</v>
      </c>
      <c r="I472" s="1853" t="s">
        <v>641</v>
      </c>
    </row>
    <row r="473" spans="1:9" ht="11.25" customHeight="1">
      <c r="A473" s="1853" t="s">
        <v>2101</v>
      </c>
      <c r="B473" s="1853" t="s">
        <v>0</v>
      </c>
      <c r="C473" s="1853" t="s">
        <v>3717</v>
      </c>
      <c r="D473" s="1853" t="s">
        <v>3718</v>
      </c>
      <c r="E473" s="1853" t="s">
        <v>3719</v>
      </c>
      <c r="F473" s="1853" t="s">
        <v>2222</v>
      </c>
      <c r="G473" s="1853" t="s">
        <v>3720</v>
      </c>
      <c r="H473" s="1853" t="s">
        <v>1</v>
      </c>
      <c r="I473" s="1853" t="s">
        <v>641</v>
      </c>
    </row>
    <row r="474" spans="1:9" ht="11.25" customHeight="1">
      <c r="A474" s="1853" t="s">
        <v>2101</v>
      </c>
      <c r="B474" s="1853" t="s">
        <v>0</v>
      </c>
      <c r="C474" s="1853" t="s">
        <v>3721</v>
      </c>
      <c r="D474" s="1853" t="s">
        <v>3722</v>
      </c>
      <c r="E474" s="1853" t="s">
        <v>3723</v>
      </c>
      <c r="F474" s="1853" t="s">
        <v>12</v>
      </c>
      <c r="G474" s="1853" t="s">
        <v>3724</v>
      </c>
      <c r="H474" s="1853" t="s">
        <v>1</v>
      </c>
      <c r="I474" s="1853" t="s">
        <v>641</v>
      </c>
    </row>
    <row r="475" spans="1:9" ht="11.25" customHeight="1">
      <c r="A475" s="1853" t="s">
        <v>2101</v>
      </c>
      <c r="B475" s="1853" t="s">
        <v>0</v>
      </c>
      <c r="C475" s="1853" t="s">
        <v>3725</v>
      </c>
      <c r="D475" s="1853" t="s">
        <v>3726</v>
      </c>
      <c r="E475" s="1853" t="s">
        <v>3727</v>
      </c>
      <c r="F475" s="1853" t="s">
        <v>3019</v>
      </c>
      <c r="G475" s="1853" t="s">
        <v>3728</v>
      </c>
      <c r="H475" s="1853" t="s">
        <v>1</v>
      </c>
      <c r="I475" s="1853" t="s">
        <v>641</v>
      </c>
    </row>
    <row r="476" spans="1:9" ht="11.25" customHeight="1">
      <c r="A476" s="1853" t="s">
        <v>2101</v>
      </c>
      <c r="B476" s="1853" t="s">
        <v>0</v>
      </c>
      <c r="C476" s="1853" t="s">
        <v>3729</v>
      </c>
      <c r="D476" s="1853" t="s">
        <v>3730</v>
      </c>
      <c r="E476" s="1853" t="s">
        <v>3731</v>
      </c>
      <c r="F476" s="1853" t="s">
        <v>2528</v>
      </c>
      <c r="G476" s="1853" t="s">
        <v>1</v>
      </c>
      <c r="H476" s="1853" t="s">
        <v>1</v>
      </c>
      <c r="I476" s="1853" t="s">
        <v>641</v>
      </c>
    </row>
    <row r="477" spans="1:9" ht="11.25" customHeight="1">
      <c r="A477" s="1853" t="s">
        <v>2101</v>
      </c>
      <c r="B477" s="1853" t="s">
        <v>0</v>
      </c>
      <c r="C477" s="1853" t="s">
        <v>3732</v>
      </c>
      <c r="D477" s="1853" t="s">
        <v>3733</v>
      </c>
      <c r="E477" s="1853" t="s">
        <v>3734</v>
      </c>
      <c r="F477" s="1853" t="s">
        <v>2149</v>
      </c>
      <c r="G477" s="1853" t="s">
        <v>1</v>
      </c>
      <c r="H477" s="1853" t="s">
        <v>1</v>
      </c>
      <c r="I477" s="1853" t="s">
        <v>641</v>
      </c>
    </row>
    <row r="478" spans="1:9" ht="11.25" customHeight="1">
      <c r="A478" s="1853" t="s">
        <v>2101</v>
      </c>
      <c r="B478" s="1853" t="s">
        <v>0</v>
      </c>
      <c r="C478" s="1853" t="s">
        <v>3735</v>
      </c>
      <c r="D478" s="1853" t="s">
        <v>3736</v>
      </c>
      <c r="E478" s="1853" t="s">
        <v>3737</v>
      </c>
      <c r="F478" s="1853" t="s">
        <v>2528</v>
      </c>
      <c r="G478" s="1853" t="s">
        <v>1</v>
      </c>
      <c r="H478" s="1853" t="s">
        <v>1</v>
      </c>
      <c r="I478" s="1853" t="s">
        <v>641</v>
      </c>
    </row>
    <row r="479" spans="1:9" ht="11.25" customHeight="1">
      <c r="A479" s="1853" t="s">
        <v>2101</v>
      </c>
      <c r="B479" s="1853" t="s">
        <v>0</v>
      </c>
      <c r="C479" s="1853" t="s">
        <v>3738</v>
      </c>
      <c r="D479" s="1853" t="s">
        <v>3739</v>
      </c>
      <c r="E479" s="1853" t="s">
        <v>3740</v>
      </c>
      <c r="F479" s="1853" t="s">
        <v>2745</v>
      </c>
      <c r="G479" s="1853" t="s">
        <v>1</v>
      </c>
      <c r="H479" s="1853" t="s">
        <v>1</v>
      </c>
      <c r="I479" s="1853" t="s">
        <v>641</v>
      </c>
    </row>
    <row r="480" spans="1:9" ht="11.25" customHeight="1">
      <c r="A480" s="1853" t="s">
        <v>2101</v>
      </c>
      <c r="B480" s="1853" t="s">
        <v>0</v>
      </c>
      <c r="C480" s="1853" t="s">
        <v>3741</v>
      </c>
      <c r="D480" s="1853" t="s">
        <v>3742</v>
      </c>
      <c r="E480" s="1853" t="s">
        <v>3743</v>
      </c>
      <c r="F480" s="1853" t="s">
        <v>2329</v>
      </c>
      <c r="G480" s="1853" t="s">
        <v>1</v>
      </c>
      <c r="H480" s="1853" t="s">
        <v>1</v>
      </c>
      <c r="I480" s="1853" t="s">
        <v>641</v>
      </c>
    </row>
    <row r="481" spans="1:9" ht="11.25" customHeight="1">
      <c r="A481" s="1853" t="s">
        <v>2101</v>
      </c>
      <c r="B481" s="1853" t="s">
        <v>0</v>
      </c>
      <c r="C481" s="1853" t="s">
        <v>3744</v>
      </c>
      <c r="D481" s="1853" t="s">
        <v>3745</v>
      </c>
      <c r="E481" s="1853" t="s">
        <v>3746</v>
      </c>
      <c r="F481" s="1853" t="s">
        <v>12</v>
      </c>
      <c r="G481" s="1853" t="s">
        <v>2494</v>
      </c>
      <c r="H481" s="1853" t="s">
        <v>1</v>
      </c>
      <c r="I481" s="1853" t="s">
        <v>641</v>
      </c>
    </row>
    <row r="482" spans="1:9" ht="11.25" customHeight="1">
      <c r="A482" s="1853" t="s">
        <v>2101</v>
      </c>
      <c r="B482" s="1853" t="s">
        <v>0</v>
      </c>
      <c r="C482" s="1853" t="s">
        <v>3747</v>
      </c>
      <c r="D482" s="1853" t="s">
        <v>3748</v>
      </c>
      <c r="E482" s="1853" t="s">
        <v>3749</v>
      </c>
      <c r="F482" s="1853" t="s">
        <v>2329</v>
      </c>
      <c r="G482" s="1853" t="s">
        <v>3582</v>
      </c>
      <c r="H482" s="1853" t="s">
        <v>1</v>
      </c>
      <c r="I482" s="1853" t="s">
        <v>641</v>
      </c>
    </row>
    <row r="483" spans="1:9" ht="11.25" customHeight="1">
      <c r="A483" s="1853" t="s">
        <v>2101</v>
      </c>
      <c r="B483" s="1853" t="s">
        <v>0</v>
      </c>
      <c r="C483" s="1853" t="s">
        <v>3750</v>
      </c>
      <c r="D483" s="1853" t="s">
        <v>3751</v>
      </c>
      <c r="E483" s="1853" t="s">
        <v>3752</v>
      </c>
      <c r="F483" s="1853" t="s">
        <v>2329</v>
      </c>
      <c r="G483" s="1853" t="s">
        <v>3753</v>
      </c>
      <c r="H483" s="1853" t="s">
        <v>1</v>
      </c>
      <c r="I483" s="1853" t="s">
        <v>641</v>
      </c>
    </row>
    <row r="484" spans="1:9" ht="11.25" customHeight="1">
      <c r="A484" s="1853" t="s">
        <v>2101</v>
      </c>
      <c r="B484" s="1853" t="s">
        <v>0</v>
      </c>
      <c r="C484" s="1853" t="s">
        <v>3754</v>
      </c>
      <c r="D484" s="1853" t="s">
        <v>3755</v>
      </c>
      <c r="E484" s="1853" t="s">
        <v>3756</v>
      </c>
      <c r="F484" s="1853" t="s">
        <v>2230</v>
      </c>
      <c r="G484" s="1853" t="s">
        <v>1</v>
      </c>
      <c r="H484" s="1853" t="s">
        <v>1</v>
      </c>
      <c r="I484" s="1853" t="s">
        <v>641</v>
      </c>
    </row>
    <row r="485" spans="1:9" ht="11.25" customHeight="1">
      <c r="A485" s="1853" t="s">
        <v>2101</v>
      </c>
      <c r="B485" s="1853" t="s">
        <v>0</v>
      </c>
      <c r="C485" s="1853" t="s">
        <v>3757</v>
      </c>
      <c r="D485" s="1853" t="s">
        <v>3758</v>
      </c>
      <c r="E485" s="1853" t="s">
        <v>3759</v>
      </c>
      <c r="F485" s="1853" t="s">
        <v>12</v>
      </c>
      <c r="G485" s="1853" t="s">
        <v>1</v>
      </c>
      <c r="H485" s="1853" t="s">
        <v>1</v>
      </c>
      <c r="I485" s="1853" t="s">
        <v>641</v>
      </c>
    </row>
    <row r="486" spans="1:9" ht="11.25" customHeight="1">
      <c r="A486" s="1853" t="s">
        <v>2101</v>
      </c>
      <c r="B486" s="1853" t="s">
        <v>0</v>
      </c>
      <c r="C486" s="1853" t="s">
        <v>3760</v>
      </c>
      <c r="D486" s="1853" t="s">
        <v>3761</v>
      </c>
      <c r="E486" s="1853" t="s">
        <v>3762</v>
      </c>
      <c r="F486" s="1853" t="s">
        <v>2105</v>
      </c>
      <c r="G486" s="1853" t="s">
        <v>1</v>
      </c>
      <c r="H486" s="1853" t="s">
        <v>1</v>
      </c>
      <c r="I486" s="1853" t="s">
        <v>641</v>
      </c>
    </row>
    <row r="487" spans="1:9" ht="11.25" customHeight="1">
      <c r="A487" s="1853" t="s">
        <v>2101</v>
      </c>
      <c r="B487" s="1853" t="s">
        <v>0</v>
      </c>
      <c r="C487" s="1853" t="s">
        <v>3763</v>
      </c>
      <c r="D487" s="1853" t="s">
        <v>3764</v>
      </c>
      <c r="E487" s="1853" t="s">
        <v>3765</v>
      </c>
      <c r="F487" s="1853" t="s">
        <v>12</v>
      </c>
      <c r="G487" s="1853" t="s">
        <v>3766</v>
      </c>
      <c r="H487" s="1853" t="s">
        <v>1</v>
      </c>
      <c r="I487" s="1853" t="s">
        <v>641</v>
      </c>
    </row>
    <row r="488" spans="1:9" ht="11.25" customHeight="1">
      <c r="A488" s="1853" t="s">
        <v>2101</v>
      </c>
      <c r="B488" s="1853" t="s">
        <v>0</v>
      </c>
      <c r="C488" s="1853" t="s">
        <v>3767</v>
      </c>
      <c r="D488" s="1853" t="s">
        <v>3768</v>
      </c>
      <c r="E488" s="1853" t="s">
        <v>3769</v>
      </c>
      <c r="F488" s="1853" t="s">
        <v>2182</v>
      </c>
      <c r="G488" s="1853" t="s">
        <v>3770</v>
      </c>
      <c r="H488" s="1853" t="s">
        <v>1</v>
      </c>
      <c r="I488" s="1853" t="s">
        <v>641</v>
      </c>
    </row>
    <row r="489" spans="1:9" ht="11.25" customHeight="1">
      <c r="A489" s="1853" t="s">
        <v>2101</v>
      </c>
      <c r="B489" s="1853" t="s">
        <v>0</v>
      </c>
      <c r="C489" s="1853" t="s">
        <v>3771</v>
      </c>
      <c r="D489" s="1853" t="s">
        <v>3772</v>
      </c>
      <c r="E489" s="1853" t="s">
        <v>3773</v>
      </c>
      <c r="F489" s="1853" t="s">
        <v>2222</v>
      </c>
      <c r="G489" s="1853" t="s">
        <v>3774</v>
      </c>
      <c r="H489" s="1853" t="s">
        <v>1</v>
      </c>
      <c r="I489" s="1853" t="s">
        <v>641</v>
      </c>
    </row>
    <row r="490" spans="1:9" ht="11.25" customHeight="1">
      <c r="A490" s="1853" t="s">
        <v>2101</v>
      </c>
      <c r="B490" s="1853" t="s">
        <v>0</v>
      </c>
      <c r="C490" s="1853" t="s">
        <v>3775</v>
      </c>
      <c r="D490" s="1853" t="s">
        <v>3776</v>
      </c>
      <c r="E490" s="1853" t="s">
        <v>3777</v>
      </c>
      <c r="F490" s="1853" t="s">
        <v>2222</v>
      </c>
      <c r="G490" s="1853" t="s">
        <v>3778</v>
      </c>
      <c r="H490" s="1853" t="s">
        <v>1</v>
      </c>
      <c r="I490" s="1853" t="s">
        <v>641</v>
      </c>
    </row>
    <row r="491" spans="1:9" ht="11.25" customHeight="1">
      <c r="A491" s="1853" t="s">
        <v>2101</v>
      </c>
      <c r="B491" s="1853" t="s">
        <v>0</v>
      </c>
      <c r="C491" s="1853" t="s">
        <v>3779</v>
      </c>
      <c r="D491" s="1853" t="s">
        <v>3780</v>
      </c>
      <c r="E491" s="1853" t="s">
        <v>3781</v>
      </c>
      <c r="F491" s="1853" t="s">
        <v>2222</v>
      </c>
      <c r="G491" s="1853" t="s">
        <v>1</v>
      </c>
      <c r="H491" s="1853" t="s">
        <v>1</v>
      </c>
      <c r="I491" s="1853" t="s">
        <v>641</v>
      </c>
    </row>
    <row r="492" spans="1:9" ht="11.25" customHeight="1">
      <c r="A492" s="1853" t="s">
        <v>2101</v>
      </c>
      <c r="B492" s="1853" t="s">
        <v>0</v>
      </c>
      <c r="C492" s="1853" t="s">
        <v>3782</v>
      </c>
      <c r="D492" s="1853" t="s">
        <v>3783</v>
      </c>
      <c r="E492" s="1853" t="s">
        <v>3784</v>
      </c>
      <c r="F492" s="1853" t="s">
        <v>2416</v>
      </c>
      <c r="G492" s="1853" t="s">
        <v>3785</v>
      </c>
      <c r="H492" s="1853" t="s">
        <v>1</v>
      </c>
      <c r="I492" s="1853" t="s">
        <v>641</v>
      </c>
    </row>
    <row r="493" spans="1:9" ht="11.25" customHeight="1">
      <c r="A493" s="1853" t="s">
        <v>2101</v>
      </c>
      <c r="B493" s="1853" t="s">
        <v>0</v>
      </c>
      <c r="C493" s="1853" t="s">
        <v>3786</v>
      </c>
      <c r="D493" s="1853" t="s">
        <v>3787</v>
      </c>
      <c r="E493" s="1853" t="s">
        <v>3788</v>
      </c>
      <c r="F493" s="1853" t="s">
        <v>2149</v>
      </c>
      <c r="G493" s="1853" t="s">
        <v>1</v>
      </c>
      <c r="H493" s="1853" t="s">
        <v>1</v>
      </c>
      <c r="I493" s="1853" t="s">
        <v>641</v>
      </c>
    </row>
    <row r="494" spans="1:9" ht="11.25" customHeight="1">
      <c r="A494" s="1853" t="s">
        <v>2101</v>
      </c>
      <c r="B494" s="1853" t="s">
        <v>0</v>
      </c>
      <c r="C494" s="1853" t="s">
        <v>3789</v>
      </c>
      <c r="D494" s="1853" t="s">
        <v>3790</v>
      </c>
      <c r="E494" s="1853" t="s">
        <v>3791</v>
      </c>
      <c r="F494" s="1853" t="s">
        <v>2105</v>
      </c>
      <c r="G494" s="1853" t="s">
        <v>1</v>
      </c>
      <c r="H494" s="1853" t="s">
        <v>1</v>
      </c>
      <c r="I494" s="1853" t="s">
        <v>641</v>
      </c>
    </row>
    <row r="495" spans="1:9" ht="11.25" customHeight="1">
      <c r="A495" s="1853" t="s">
        <v>2101</v>
      </c>
      <c r="B495" s="1853" t="s">
        <v>0</v>
      </c>
      <c r="C495" s="1853" t="s">
        <v>3792</v>
      </c>
      <c r="D495" s="1853" t="s">
        <v>3793</v>
      </c>
      <c r="E495" s="1853" t="s">
        <v>3794</v>
      </c>
      <c r="F495" s="1853" t="s">
        <v>2329</v>
      </c>
      <c r="G495" s="1853" t="s">
        <v>1</v>
      </c>
      <c r="H495" s="1853" t="s">
        <v>1</v>
      </c>
      <c r="I495" s="1853" t="s">
        <v>641</v>
      </c>
    </row>
    <row r="496" spans="1:9" ht="11.25" customHeight="1">
      <c r="A496" s="1853" t="s">
        <v>2101</v>
      </c>
      <c r="B496" s="1853" t="s">
        <v>0</v>
      </c>
      <c r="C496" s="1853" t="s">
        <v>3795</v>
      </c>
      <c r="D496" s="1853" t="s">
        <v>3796</v>
      </c>
      <c r="E496" s="1853" t="s">
        <v>3797</v>
      </c>
      <c r="F496" s="1853" t="s">
        <v>2589</v>
      </c>
      <c r="G496" s="1853" t="s">
        <v>3798</v>
      </c>
      <c r="H496" s="1853" t="s">
        <v>1</v>
      </c>
      <c r="I496" s="1853" t="s">
        <v>641</v>
      </c>
    </row>
    <row r="497" spans="1:9" ht="11.25" customHeight="1">
      <c r="A497" s="1853" t="s">
        <v>2101</v>
      </c>
      <c r="B497" s="1853" t="s">
        <v>0</v>
      </c>
      <c r="C497" s="1853" t="s">
        <v>3799</v>
      </c>
      <c r="D497" s="1853" t="s">
        <v>3800</v>
      </c>
      <c r="E497" s="1853" t="s">
        <v>3801</v>
      </c>
      <c r="F497" s="1853" t="s">
        <v>2149</v>
      </c>
      <c r="G497" s="1853" t="s">
        <v>1</v>
      </c>
      <c r="H497" s="1853" t="s">
        <v>1</v>
      </c>
      <c r="I497" s="1853" t="s">
        <v>641</v>
      </c>
    </row>
    <row r="498" spans="1:9" ht="11.25" customHeight="1">
      <c r="A498" s="1853" t="s">
        <v>2101</v>
      </c>
      <c r="B498" s="1853" t="s">
        <v>0</v>
      </c>
      <c r="C498" s="1853" t="s">
        <v>3802</v>
      </c>
      <c r="D498" s="1853" t="s">
        <v>3803</v>
      </c>
      <c r="E498" s="1853" t="s">
        <v>3804</v>
      </c>
      <c r="F498" s="1853" t="s">
        <v>3079</v>
      </c>
      <c r="G498" s="1853" t="s">
        <v>1</v>
      </c>
      <c r="H498" s="1853" t="s">
        <v>1</v>
      </c>
      <c r="I498" s="1853" t="s">
        <v>641</v>
      </c>
    </row>
    <row r="499" spans="1:9" ht="11.25" customHeight="1">
      <c r="A499" s="1853" t="s">
        <v>2101</v>
      </c>
      <c r="B499" s="1853" t="s">
        <v>0</v>
      </c>
      <c r="C499" s="1853" t="s">
        <v>3805</v>
      </c>
      <c r="D499" s="1853" t="s">
        <v>3806</v>
      </c>
      <c r="E499" s="1853" t="s">
        <v>3807</v>
      </c>
      <c r="F499" s="1853" t="s">
        <v>2149</v>
      </c>
      <c r="G499" s="1853" t="s">
        <v>3808</v>
      </c>
      <c r="H499" s="1853" t="s">
        <v>1</v>
      </c>
      <c r="I499" s="1853" t="s">
        <v>641</v>
      </c>
    </row>
    <row r="500" spans="1:9" ht="11.25" customHeight="1">
      <c r="A500" s="1853" t="s">
        <v>2101</v>
      </c>
      <c r="B500" s="1853" t="s">
        <v>0</v>
      </c>
      <c r="C500" s="1853" t="s">
        <v>3809</v>
      </c>
      <c r="D500" s="1853" t="s">
        <v>3810</v>
      </c>
      <c r="E500" s="1853" t="s">
        <v>3811</v>
      </c>
      <c r="F500" s="1853" t="s">
        <v>3087</v>
      </c>
      <c r="G500" s="1853" t="s">
        <v>1</v>
      </c>
      <c r="H500" s="1853" t="s">
        <v>1</v>
      </c>
      <c r="I500" s="1853" t="s">
        <v>641</v>
      </c>
    </row>
    <row r="501" spans="1:9" ht="11.25" customHeight="1">
      <c r="A501" s="1853" t="s">
        <v>2101</v>
      </c>
      <c r="B501" s="1853" t="s">
        <v>0</v>
      </c>
      <c r="C501" s="1853" t="s">
        <v>3812</v>
      </c>
      <c r="D501" s="1853" t="s">
        <v>3813</v>
      </c>
      <c r="E501" s="1853" t="s">
        <v>3814</v>
      </c>
      <c r="F501" s="1853" t="s">
        <v>2230</v>
      </c>
      <c r="G501" s="1853" t="s">
        <v>1</v>
      </c>
      <c r="H501" s="1853" t="s">
        <v>1</v>
      </c>
      <c r="I501" s="1853" t="s">
        <v>641</v>
      </c>
    </row>
    <row r="502" spans="1:9" ht="11.25" customHeight="1">
      <c r="A502" s="1853" t="s">
        <v>2101</v>
      </c>
      <c r="B502" s="1853" t="s">
        <v>0</v>
      </c>
      <c r="C502" s="1853" t="s">
        <v>3815</v>
      </c>
      <c r="D502" s="1853" t="s">
        <v>3816</v>
      </c>
      <c r="E502" s="1853" t="s">
        <v>3817</v>
      </c>
      <c r="F502" s="1853" t="s">
        <v>2105</v>
      </c>
      <c r="G502" s="1853" t="s">
        <v>3818</v>
      </c>
      <c r="H502" s="1853" t="s">
        <v>1</v>
      </c>
      <c r="I502" s="1853" t="s">
        <v>641</v>
      </c>
    </row>
    <row r="503" spans="1:9" ht="11.25" customHeight="1">
      <c r="A503" s="1853" t="s">
        <v>2101</v>
      </c>
      <c r="B503" s="1853" t="s">
        <v>0</v>
      </c>
      <c r="C503" s="1853" t="s">
        <v>3819</v>
      </c>
      <c r="D503" s="1853" t="s">
        <v>3820</v>
      </c>
      <c r="E503" s="1853" t="s">
        <v>3821</v>
      </c>
      <c r="F503" s="1853" t="s">
        <v>2222</v>
      </c>
      <c r="G503" s="1853" t="s">
        <v>3822</v>
      </c>
      <c r="H503" s="1853" t="s">
        <v>1</v>
      </c>
      <c r="I503" s="1853" t="s">
        <v>641</v>
      </c>
    </row>
    <row r="504" spans="1:9" ht="11.25" customHeight="1">
      <c r="A504" s="1853" t="s">
        <v>2101</v>
      </c>
      <c r="B504" s="1853" t="s">
        <v>0</v>
      </c>
      <c r="C504" s="1853" t="s">
        <v>3823</v>
      </c>
      <c r="D504" s="1853" t="s">
        <v>3824</v>
      </c>
      <c r="E504" s="1853" t="s">
        <v>3825</v>
      </c>
      <c r="F504" s="1853" t="s">
        <v>2230</v>
      </c>
      <c r="G504" s="1853" t="s">
        <v>3826</v>
      </c>
      <c r="H504" s="1853" t="s">
        <v>1</v>
      </c>
      <c r="I504" s="1853" t="s">
        <v>641</v>
      </c>
    </row>
    <row r="505" spans="1:9" ht="11.25" customHeight="1">
      <c r="A505" s="1853" t="s">
        <v>2101</v>
      </c>
      <c r="B505" s="1853" t="s">
        <v>0</v>
      </c>
      <c r="C505" s="1853" t="s">
        <v>3827</v>
      </c>
      <c r="D505" s="1853" t="s">
        <v>3828</v>
      </c>
      <c r="E505" s="1853" t="s">
        <v>3829</v>
      </c>
      <c r="F505" s="1853" t="s">
        <v>2329</v>
      </c>
      <c r="G505" s="1853" t="s">
        <v>1</v>
      </c>
      <c r="H505" s="1853" t="s">
        <v>1</v>
      </c>
      <c r="I505" s="1853" t="s">
        <v>641</v>
      </c>
    </row>
    <row r="506" spans="1:9" ht="11.25" customHeight="1">
      <c r="A506" s="1853" t="s">
        <v>2101</v>
      </c>
      <c r="B506" s="1853" t="s">
        <v>0</v>
      </c>
      <c r="C506" s="1853" t="s">
        <v>3830</v>
      </c>
      <c r="D506" s="1853" t="s">
        <v>3831</v>
      </c>
      <c r="E506" s="1853" t="s">
        <v>3832</v>
      </c>
      <c r="F506" s="1853" t="s">
        <v>12</v>
      </c>
      <c r="G506" s="1853" t="s">
        <v>1</v>
      </c>
      <c r="H506" s="1853" t="s">
        <v>1</v>
      </c>
      <c r="I506" s="1853" t="s">
        <v>641</v>
      </c>
    </row>
    <row r="507" spans="1:9" ht="11.25" customHeight="1">
      <c r="A507" s="1853" t="s">
        <v>2101</v>
      </c>
      <c r="B507" s="1853" t="s">
        <v>0</v>
      </c>
      <c r="C507" s="1853" t="s">
        <v>3833</v>
      </c>
      <c r="D507" s="1853" t="s">
        <v>3834</v>
      </c>
      <c r="E507" s="1853" t="s">
        <v>3835</v>
      </c>
      <c r="F507" s="1853" t="s">
        <v>2329</v>
      </c>
      <c r="G507" s="1853" t="s">
        <v>1</v>
      </c>
      <c r="H507" s="1853" t="s">
        <v>1</v>
      </c>
      <c r="I507" s="1853" t="s">
        <v>641</v>
      </c>
    </row>
    <row r="508" spans="1:9" ht="11.25" customHeight="1">
      <c r="A508" s="1853" t="s">
        <v>2101</v>
      </c>
      <c r="B508" s="1853" t="s">
        <v>0</v>
      </c>
      <c r="C508" s="1853" t="s">
        <v>3836</v>
      </c>
      <c r="D508" s="1853" t="s">
        <v>3837</v>
      </c>
      <c r="E508" s="1853" t="s">
        <v>3838</v>
      </c>
      <c r="F508" s="1853" t="s">
        <v>2105</v>
      </c>
      <c r="G508" s="1853" t="s">
        <v>1</v>
      </c>
      <c r="H508" s="1853" t="s">
        <v>1</v>
      </c>
      <c r="I508" s="1853" t="s">
        <v>641</v>
      </c>
    </row>
    <row r="509" spans="1:9" ht="11.25" customHeight="1">
      <c r="A509" s="1853" t="s">
        <v>2101</v>
      </c>
      <c r="B509" s="1853" t="s">
        <v>0</v>
      </c>
      <c r="C509" s="1853" t="s">
        <v>3839</v>
      </c>
      <c r="D509" s="1853" t="s">
        <v>3840</v>
      </c>
      <c r="E509" s="1853" t="s">
        <v>3841</v>
      </c>
      <c r="F509" s="1853" t="s">
        <v>2230</v>
      </c>
      <c r="G509" s="1853" t="s">
        <v>1</v>
      </c>
      <c r="H509" s="1853" t="s">
        <v>1</v>
      </c>
      <c r="I509" s="1853" t="s">
        <v>641</v>
      </c>
    </row>
    <row r="510" spans="1:9" ht="11.25" customHeight="1">
      <c r="A510" s="1853" t="s">
        <v>2101</v>
      </c>
      <c r="B510" s="1853" t="s">
        <v>0</v>
      </c>
      <c r="C510" s="1853" t="s">
        <v>3842</v>
      </c>
      <c r="D510" s="1853" t="s">
        <v>3843</v>
      </c>
      <c r="E510" s="1853" t="s">
        <v>3844</v>
      </c>
      <c r="F510" s="1853" t="s">
        <v>2561</v>
      </c>
      <c r="G510" s="1853" t="s">
        <v>1</v>
      </c>
      <c r="H510" s="1853" t="s">
        <v>1</v>
      </c>
      <c r="I510" s="1853" t="s">
        <v>641</v>
      </c>
    </row>
    <row r="511" spans="1:9" ht="11.25" customHeight="1">
      <c r="A511" s="1853" t="s">
        <v>2101</v>
      </c>
      <c r="B511" s="1853" t="s">
        <v>0</v>
      </c>
      <c r="C511" s="1853" t="s">
        <v>3845</v>
      </c>
      <c r="D511" s="1853" t="s">
        <v>3846</v>
      </c>
      <c r="E511" s="1853" t="s">
        <v>3847</v>
      </c>
      <c r="F511" s="1853" t="s">
        <v>2182</v>
      </c>
      <c r="G511" s="1853" t="s">
        <v>1</v>
      </c>
      <c r="H511" s="1853" t="s">
        <v>1</v>
      </c>
      <c r="I511" s="1853" t="s">
        <v>641</v>
      </c>
    </row>
    <row r="512" spans="1:9" ht="11.25" customHeight="1">
      <c r="A512" s="1853" t="s">
        <v>2101</v>
      </c>
      <c r="B512" s="1853" t="s">
        <v>0</v>
      </c>
      <c r="C512" s="1853" t="s">
        <v>3848</v>
      </c>
      <c r="D512" s="1853" t="s">
        <v>3849</v>
      </c>
      <c r="E512" s="1853" t="s">
        <v>3293</v>
      </c>
      <c r="F512" s="1853" t="s">
        <v>2329</v>
      </c>
      <c r="G512" s="1853" t="s">
        <v>3850</v>
      </c>
      <c r="H512" s="1853" t="s">
        <v>1</v>
      </c>
      <c r="I512" s="1853" t="s">
        <v>641</v>
      </c>
    </row>
    <row r="513" spans="1:9" ht="11.25" customHeight="1">
      <c r="A513" s="1853" t="s">
        <v>2101</v>
      </c>
      <c r="B513" s="1853" t="s">
        <v>0</v>
      </c>
      <c r="C513" s="1853" t="s">
        <v>3851</v>
      </c>
      <c r="D513" s="1853" t="s">
        <v>3852</v>
      </c>
      <c r="E513" s="1853" t="s">
        <v>3853</v>
      </c>
      <c r="F513" s="1853" t="s">
        <v>2329</v>
      </c>
      <c r="G513" s="1853" t="s">
        <v>1</v>
      </c>
      <c r="H513" s="1853" t="s">
        <v>1</v>
      </c>
      <c r="I513" s="1853" t="s">
        <v>641</v>
      </c>
    </row>
    <row r="514" spans="1:9" ht="11.25" customHeight="1">
      <c r="A514" s="1853" t="s">
        <v>2101</v>
      </c>
      <c r="B514" s="1853" t="s">
        <v>0</v>
      </c>
      <c r="C514" s="1853" t="s">
        <v>3854</v>
      </c>
      <c r="D514" s="1853" t="s">
        <v>3855</v>
      </c>
      <c r="E514" s="1853" t="s">
        <v>3856</v>
      </c>
      <c r="F514" s="1853" t="s">
        <v>2416</v>
      </c>
      <c r="G514" s="1853" t="s">
        <v>1</v>
      </c>
      <c r="H514" s="1853" t="s">
        <v>1</v>
      </c>
      <c r="I514" s="1853" t="s">
        <v>641</v>
      </c>
    </row>
    <row r="515" spans="1:9" ht="11.25" customHeight="1">
      <c r="A515" s="1853" t="s">
        <v>2101</v>
      </c>
      <c r="B515" s="1853" t="s">
        <v>0</v>
      </c>
      <c r="C515" s="1853" t="s">
        <v>3857</v>
      </c>
      <c r="D515" s="1853" t="s">
        <v>3858</v>
      </c>
      <c r="E515" s="1853" t="s">
        <v>3859</v>
      </c>
      <c r="F515" s="1853" t="s">
        <v>2329</v>
      </c>
      <c r="G515" s="1853" t="s">
        <v>1</v>
      </c>
      <c r="H515" s="1853" t="s">
        <v>1</v>
      </c>
      <c r="I515" s="1853" t="s">
        <v>641</v>
      </c>
    </row>
    <row r="516" spans="1:9" ht="11.25" customHeight="1">
      <c r="A516" s="1853" t="s">
        <v>2101</v>
      </c>
      <c r="B516" s="1853" t="s">
        <v>0</v>
      </c>
      <c r="C516" s="1853" t="s">
        <v>3860</v>
      </c>
      <c r="D516" s="1853" t="s">
        <v>3861</v>
      </c>
      <c r="E516" s="1853" t="s">
        <v>3862</v>
      </c>
      <c r="F516" s="1853" t="s">
        <v>2149</v>
      </c>
      <c r="G516" s="1853" t="s">
        <v>3863</v>
      </c>
      <c r="H516" s="1853" t="s">
        <v>3864</v>
      </c>
      <c r="I516" s="1853" t="s">
        <v>641</v>
      </c>
    </row>
    <row r="517" spans="1:9" ht="11.25" customHeight="1">
      <c r="A517" s="1853" t="s">
        <v>2101</v>
      </c>
      <c r="B517" s="1853" t="s">
        <v>0</v>
      </c>
      <c r="C517" s="1853" t="s">
        <v>3865</v>
      </c>
      <c r="D517" s="1853" t="s">
        <v>3866</v>
      </c>
      <c r="E517" s="1853" t="s">
        <v>3867</v>
      </c>
      <c r="F517" s="1853" t="s">
        <v>2178</v>
      </c>
      <c r="G517" s="1853" t="s">
        <v>1</v>
      </c>
      <c r="H517" s="1853" t="s">
        <v>1</v>
      </c>
      <c r="I517" s="1853" t="s">
        <v>641</v>
      </c>
    </row>
    <row r="518" spans="1:9" ht="11.25" customHeight="1">
      <c r="A518" s="1853" t="s">
        <v>2101</v>
      </c>
      <c r="B518" s="1853" t="s">
        <v>0</v>
      </c>
      <c r="C518" s="1853" t="s">
        <v>3868</v>
      </c>
      <c r="D518" s="1853" t="s">
        <v>3869</v>
      </c>
      <c r="E518" s="1853" t="s">
        <v>3870</v>
      </c>
      <c r="F518" s="1853" t="s">
        <v>2708</v>
      </c>
      <c r="G518" s="1853" t="s">
        <v>3871</v>
      </c>
      <c r="H518" s="1853" t="s">
        <v>1</v>
      </c>
      <c r="I518" s="1853" t="s">
        <v>641</v>
      </c>
    </row>
    <row r="519" spans="1:9" ht="11.25" customHeight="1">
      <c r="A519" s="1853" t="s">
        <v>2101</v>
      </c>
      <c r="B519" s="1853" t="s">
        <v>0</v>
      </c>
      <c r="C519" s="1853" t="s">
        <v>3872</v>
      </c>
      <c r="D519" s="1853" t="s">
        <v>3873</v>
      </c>
      <c r="E519" s="1853" t="s">
        <v>3874</v>
      </c>
      <c r="F519" s="1853" t="s">
        <v>2708</v>
      </c>
      <c r="G519" s="1853" t="s">
        <v>1</v>
      </c>
      <c r="H519" s="1853" t="s">
        <v>1</v>
      </c>
      <c r="I519" s="1853" t="s">
        <v>641</v>
      </c>
    </row>
    <row r="520" spans="1:9" ht="11.25" customHeight="1">
      <c r="A520" s="1853" t="s">
        <v>2101</v>
      </c>
      <c r="B520" s="1853" t="s">
        <v>0</v>
      </c>
      <c r="C520" s="1853" t="s">
        <v>3875</v>
      </c>
      <c r="D520" s="1853" t="s">
        <v>3876</v>
      </c>
      <c r="E520" s="1853" t="s">
        <v>3877</v>
      </c>
      <c r="F520" s="1853" t="s">
        <v>3878</v>
      </c>
      <c r="G520" s="1853" t="s">
        <v>3879</v>
      </c>
      <c r="H520" s="1853" t="s">
        <v>1</v>
      </c>
      <c r="I520" s="1853" t="s">
        <v>641</v>
      </c>
    </row>
    <row r="521" spans="1:9" ht="11.25" customHeight="1">
      <c r="A521" s="1853" t="s">
        <v>2101</v>
      </c>
      <c r="B521" s="1853" t="s">
        <v>0</v>
      </c>
      <c r="C521" s="1853" t="s">
        <v>3880</v>
      </c>
      <c r="D521" s="1853" t="s">
        <v>3881</v>
      </c>
      <c r="E521" s="1853" t="s">
        <v>3882</v>
      </c>
      <c r="F521" s="1853" t="s">
        <v>3883</v>
      </c>
      <c r="G521" s="1853" t="s">
        <v>1</v>
      </c>
      <c r="H521" s="1853" t="s">
        <v>1</v>
      </c>
      <c r="I521" s="1853" t="s">
        <v>641</v>
      </c>
    </row>
    <row r="522" spans="1:9" ht="11.25" customHeight="1">
      <c r="A522" s="1853" t="s">
        <v>2101</v>
      </c>
      <c r="B522" s="1853" t="s">
        <v>0</v>
      </c>
      <c r="C522" s="1853" t="s">
        <v>3884</v>
      </c>
      <c r="D522" s="1853" t="s">
        <v>3885</v>
      </c>
      <c r="E522" s="1853" t="s">
        <v>3432</v>
      </c>
      <c r="F522" s="1853" t="s">
        <v>3886</v>
      </c>
      <c r="G522" s="1853" t="s">
        <v>1</v>
      </c>
      <c r="H522" s="1853" t="s">
        <v>1</v>
      </c>
      <c r="I522" s="1853" t="s">
        <v>641</v>
      </c>
    </row>
    <row r="523" spans="1:9" ht="11.25" customHeight="1">
      <c r="A523" s="1853" t="s">
        <v>2101</v>
      </c>
      <c r="B523" s="1853" t="s">
        <v>0</v>
      </c>
      <c r="C523" s="1853" t="s">
        <v>3887</v>
      </c>
      <c r="D523" s="1853" t="s">
        <v>3888</v>
      </c>
      <c r="E523" s="1853" t="s">
        <v>3889</v>
      </c>
      <c r="F523" s="1853" t="s">
        <v>2196</v>
      </c>
      <c r="G523" s="1853" t="s">
        <v>3890</v>
      </c>
      <c r="H523" s="1853" t="s">
        <v>1</v>
      </c>
      <c r="I523" s="1853" t="s">
        <v>641</v>
      </c>
    </row>
    <row r="524" spans="1:9" ht="11.25" customHeight="1">
      <c r="A524" s="1853" t="s">
        <v>2101</v>
      </c>
      <c r="B524" s="1853" t="s">
        <v>0</v>
      </c>
      <c r="C524" s="1853" t="s">
        <v>3891</v>
      </c>
      <c r="D524" s="1853" t="s">
        <v>3892</v>
      </c>
      <c r="E524" s="1853" t="s">
        <v>3893</v>
      </c>
      <c r="F524" s="1853" t="s">
        <v>2149</v>
      </c>
      <c r="G524" s="1853" t="s">
        <v>1</v>
      </c>
      <c r="H524" s="1853" t="s">
        <v>1</v>
      </c>
      <c r="I524" s="1853" t="s">
        <v>641</v>
      </c>
    </row>
    <row r="525" spans="1:9" ht="11.25" customHeight="1">
      <c r="A525" s="1853" t="s">
        <v>2101</v>
      </c>
      <c r="B525" s="1853" t="s">
        <v>0</v>
      </c>
      <c r="C525" s="1853" t="s">
        <v>3894</v>
      </c>
      <c r="D525" s="1853" t="s">
        <v>3895</v>
      </c>
      <c r="E525" s="1853" t="s">
        <v>3896</v>
      </c>
      <c r="F525" s="1853" t="s">
        <v>2149</v>
      </c>
      <c r="G525" s="1853" t="s">
        <v>1</v>
      </c>
      <c r="H525" s="1853" t="s">
        <v>1</v>
      </c>
      <c r="I525" s="1853" t="s">
        <v>641</v>
      </c>
    </row>
    <row r="526" spans="1:9" ht="11.25" customHeight="1">
      <c r="A526" s="1853" t="s">
        <v>2101</v>
      </c>
      <c r="B526" s="1853" t="s">
        <v>0</v>
      </c>
      <c r="C526" s="1853" t="s">
        <v>3897</v>
      </c>
      <c r="D526" s="1853" t="s">
        <v>3898</v>
      </c>
      <c r="E526" s="1853" t="s">
        <v>3899</v>
      </c>
      <c r="F526" s="1853" t="s">
        <v>2105</v>
      </c>
      <c r="G526" s="1853" t="s">
        <v>1</v>
      </c>
      <c r="H526" s="1853" t="s">
        <v>3900</v>
      </c>
      <c r="I526" s="1853" t="s">
        <v>641</v>
      </c>
    </row>
    <row r="527" spans="1:9" ht="11.25" customHeight="1">
      <c r="A527" s="1853" t="s">
        <v>2101</v>
      </c>
      <c r="B527" s="1853" t="s">
        <v>0</v>
      </c>
      <c r="C527" s="1853" t="s">
        <v>3901</v>
      </c>
      <c r="D527" s="1853" t="s">
        <v>3902</v>
      </c>
      <c r="E527" s="1853" t="s">
        <v>3903</v>
      </c>
      <c r="F527" s="1853" t="s">
        <v>12</v>
      </c>
      <c r="G527" s="1853" t="s">
        <v>1</v>
      </c>
      <c r="H527" s="1853" t="s">
        <v>1</v>
      </c>
      <c r="I527" s="1853" t="s">
        <v>641</v>
      </c>
    </row>
    <row r="528" spans="1:9" ht="11.25" customHeight="1">
      <c r="A528" s="1853" t="s">
        <v>2101</v>
      </c>
      <c r="B528" s="1853" t="s">
        <v>0</v>
      </c>
      <c r="C528" s="1853" t="s">
        <v>3904</v>
      </c>
      <c r="D528" s="1853" t="s">
        <v>3905</v>
      </c>
      <c r="E528" s="1853" t="s">
        <v>3906</v>
      </c>
      <c r="F528" s="1853" t="s">
        <v>2239</v>
      </c>
      <c r="G528" s="1853" t="s">
        <v>3907</v>
      </c>
      <c r="H528" s="1853" t="s">
        <v>1</v>
      </c>
      <c r="I528" s="1853" t="s">
        <v>641</v>
      </c>
    </row>
    <row r="529" spans="1:9" ht="11.25" customHeight="1">
      <c r="A529" s="1853" t="s">
        <v>2101</v>
      </c>
      <c r="B529" s="1853" t="s">
        <v>0</v>
      </c>
      <c r="C529" s="1853" t="s">
        <v>3908</v>
      </c>
      <c r="D529" s="1853" t="s">
        <v>3909</v>
      </c>
      <c r="E529" s="1853" t="s">
        <v>3910</v>
      </c>
      <c r="F529" s="1853" t="s">
        <v>2329</v>
      </c>
      <c r="G529" s="1853" t="s">
        <v>1</v>
      </c>
      <c r="H529" s="1853" t="s">
        <v>1</v>
      </c>
      <c r="I529" s="1853" t="s">
        <v>641</v>
      </c>
    </row>
    <row r="530" spans="1:9" ht="11.25" customHeight="1">
      <c r="A530" s="1853" t="s">
        <v>2101</v>
      </c>
      <c r="B530" s="1853" t="s">
        <v>0</v>
      </c>
      <c r="C530" s="1853" t="s">
        <v>3911</v>
      </c>
      <c r="D530" s="1853" t="s">
        <v>3912</v>
      </c>
      <c r="E530" s="1853" t="s">
        <v>3913</v>
      </c>
      <c r="F530" s="1853" t="s">
        <v>2178</v>
      </c>
      <c r="G530" s="1853" t="s">
        <v>3914</v>
      </c>
      <c r="H530" s="1853" t="s">
        <v>1</v>
      </c>
      <c r="I530" s="1853" t="s">
        <v>641</v>
      </c>
    </row>
    <row r="531" spans="1:9" ht="11.25" customHeight="1">
      <c r="A531" s="1853" t="s">
        <v>2101</v>
      </c>
      <c r="B531" s="1853" t="s">
        <v>0</v>
      </c>
      <c r="C531" s="1853" t="s">
        <v>3915</v>
      </c>
      <c r="D531" s="1853" t="s">
        <v>3916</v>
      </c>
      <c r="E531" s="1853" t="s">
        <v>3917</v>
      </c>
      <c r="F531" s="1853" t="s">
        <v>2230</v>
      </c>
      <c r="G531" s="1853" t="s">
        <v>1</v>
      </c>
      <c r="H531" s="1853" t="s">
        <v>1</v>
      </c>
      <c r="I531" s="1853" t="s">
        <v>641</v>
      </c>
    </row>
    <row r="532" spans="1:9" ht="11.25" customHeight="1">
      <c r="A532" s="1853" t="s">
        <v>2101</v>
      </c>
      <c r="B532" s="1853" t="s">
        <v>0</v>
      </c>
      <c r="C532" s="1853" t="s">
        <v>3918</v>
      </c>
      <c r="D532" s="1853" t="s">
        <v>3919</v>
      </c>
      <c r="E532" s="1853" t="s">
        <v>3920</v>
      </c>
      <c r="F532" s="1853" t="s">
        <v>2424</v>
      </c>
      <c r="G532" s="1853" t="s">
        <v>1</v>
      </c>
      <c r="H532" s="1853" t="s">
        <v>1</v>
      </c>
      <c r="I532" s="1853" t="s">
        <v>641</v>
      </c>
    </row>
    <row r="533" spans="1:9" ht="11.25" customHeight="1">
      <c r="A533" s="1853" t="s">
        <v>2101</v>
      </c>
      <c r="B533" s="1853" t="s">
        <v>0</v>
      </c>
      <c r="C533" s="1853" t="s">
        <v>3921</v>
      </c>
      <c r="D533" s="1853" t="s">
        <v>3922</v>
      </c>
      <c r="E533" s="1853" t="s">
        <v>3923</v>
      </c>
      <c r="F533" s="1853" t="s">
        <v>2613</v>
      </c>
      <c r="G533" s="1853" t="s">
        <v>1</v>
      </c>
      <c r="H533" s="1853" t="s">
        <v>1</v>
      </c>
      <c r="I533" s="1853" t="s">
        <v>641</v>
      </c>
    </row>
    <row r="534" spans="1:9" ht="11.25" customHeight="1">
      <c r="A534" s="1853" t="s">
        <v>2101</v>
      </c>
      <c r="B534" s="1853" t="s">
        <v>0</v>
      </c>
      <c r="C534" s="1853" t="s">
        <v>3924</v>
      </c>
      <c r="D534" s="1853" t="s">
        <v>3925</v>
      </c>
      <c r="E534" s="1853" t="s">
        <v>3926</v>
      </c>
      <c r="F534" s="1853" t="s">
        <v>3019</v>
      </c>
      <c r="G534" s="1853" t="s">
        <v>3927</v>
      </c>
      <c r="H534" s="1853" t="s">
        <v>1</v>
      </c>
      <c r="I534" s="1853" t="s">
        <v>641</v>
      </c>
    </row>
    <row r="535" spans="1:9" ht="11.25" customHeight="1">
      <c r="A535" s="1853" t="s">
        <v>2101</v>
      </c>
      <c r="B535" s="1853" t="s">
        <v>0</v>
      </c>
      <c r="C535" s="1853" t="s">
        <v>3928</v>
      </c>
      <c r="D535" s="1853" t="s">
        <v>3929</v>
      </c>
      <c r="E535" s="1853" t="s">
        <v>3930</v>
      </c>
      <c r="F535" s="1853" t="s">
        <v>2424</v>
      </c>
      <c r="G535" s="1853" t="s">
        <v>3931</v>
      </c>
      <c r="H535" s="1853" t="s">
        <v>1</v>
      </c>
      <c r="I535" s="1853" t="s">
        <v>641</v>
      </c>
    </row>
    <row r="536" spans="1:9" ht="11.25" customHeight="1">
      <c r="A536" s="1853" t="s">
        <v>2101</v>
      </c>
      <c r="B536" s="1853" t="s">
        <v>0</v>
      </c>
      <c r="C536" s="1853" t="s">
        <v>3932</v>
      </c>
      <c r="D536" s="1853" t="s">
        <v>3933</v>
      </c>
      <c r="E536" s="1853" t="s">
        <v>3934</v>
      </c>
      <c r="F536" s="1853" t="s">
        <v>2211</v>
      </c>
      <c r="G536" s="1853" t="s">
        <v>1</v>
      </c>
      <c r="H536" s="1853" t="s">
        <v>1</v>
      </c>
      <c r="I536" s="1853" t="s">
        <v>641</v>
      </c>
    </row>
    <row r="537" spans="1:9" ht="11.25" customHeight="1">
      <c r="A537" s="1853" t="s">
        <v>2101</v>
      </c>
      <c r="B537" s="1853" t="s">
        <v>0</v>
      </c>
      <c r="C537" s="1853" t="s">
        <v>3935</v>
      </c>
      <c r="D537" s="1853" t="s">
        <v>3936</v>
      </c>
      <c r="E537" s="1853" t="s">
        <v>3937</v>
      </c>
      <c r="F537" s="1853" t="s">
        <v>2187</v>
      </c>
      <c r="G537" s="1853" t="s">
        <v>1</v>
      </c>
      <c r="H537" s="1853" t="s">
        <v>1</v>
      </c>
      <c r="I537" s="1853" t="s">
        <v>641</v>
      </c>
    </row>
    <row r="538" spans="1:9" ht="11.25" customHeight="1">
      <c r="A538" s="1853" t="s">
        <v>2101</v>
      </c>
      <c r="B538" s="1853" t="s">
        <v>0</v>
      </c>
      <c r="C538" s="1853" t="s">
        <v>3938</v>
      </c>
      <c r="D538" s="1853" t="s">
        <v>3939</v>
      </c>
      <c r="E538" s="1853" t="s">
        <v>3940</v>
      </c>
      <c r="F538" s="1853" t="s">
        <v>2329</v>
      </c>
      <c r="G538" s="1853" t="s">
        <v>1</v>
      </c>
      <c r="H538" s="1853" t="s">
        <v>1</v>
      </c>
      <c r="I538" s="1853" t="s">
        <v>641</v>
      </c>
    </row>
    <row r="539" spans="1:9" ht="11.25" customHeight="1">
      <c r="A539" s="1853" t="s">
        <v>2101</v>
      </c>
      <c r="B539" s="1853" t="s">
        <v>0</v>
      </c>
      <c r="C539" s="1853" t="s">
        <v>3941</v>
      </c>
      <c r="D539" s="1853" t="s">
        <v>3942</v>
      </c>
      <c r="E539" s="1853" t="s">
        <v>3943</v>
      </c>
      <c r="F539" s="1853" t="s">
        <v>2683</v>
      </c>
      <c r="G539" s="1853" t="s">
        <v>3944</v>
      </c>
      <c r="H539" s="1853" t="s">
        <v>1</v>
      </c>
      <c r="I539" s="1853" t="s">
        <v>641</v>
      </c>
    </row>
    <row r="540" spans="1:9" ht="11.25" customHeight="1">
      <c r="A540" s="1853" t="s">
        <v>2101</v>
      </c>
      <c r="B540" s="1853" t="s">
        <v>0</v>
      </c>
      <c r="C540" s="1853" t="s">
        <v>3945</v>
      </c>
      <c r="D540" s="1853" t="s">
        <v>3946</v>
      </c>
      <c r="E540" s="1853" t="s">
        <v>3947</v>
      </c>
      <c r="F540" s="1853" t="s">
        <v>2416</v>
      </c>
      <c r="G540" s="1853" t="s">
        <v>1</v>
      </c>
      <c r="H540" s="1853" t="s">
        <v>1</v>
      </c>
      <c r="I540" s="1853" t="s">
        <v>641</v>
      </c>
    </row>
    <row r="541" spans="1:9" ht="11.25" customHeight="1">
      <c r="A541" s="1853" t="s">
        <v>2101</v>
      </c>
      <c r="B541" s="1853" t="s">
        <v>0</v>
      </c>
      <c r="C541" s="1853" t="s">
        <v>3948</v>
      </c>
      <c r="D541" s="1853" t="s">
        <v>3949</v>
      </c>
      <c r="E541" s="1853" t="s">
        <v>3950</v>
      </c>
      <c r="F541" s="1853" t="s">
        <v>2207</v>
      </c>
      <c r="G541" s="1853" t="s">
        <v>1</v>
      </c>
      <c r="H541" s="1853" t="s">
        <v>1</v>
      </c>
      <c r="I541" s="1853" t="s">
        <v>641</v>
      </c>
    </row>
    <row r="542" spans="1:9" ht="11.25" customHeight="1">
      <c r="A542" s="1853" t="s">
        <v>2101</v>
      </c>
      <c r="B542" s="1853" t="s">
        <v>0</v>
      </c>
      <c r="C542" s="1853" t="s">
        <v>3951</v>
      </c>
      <c r="D542" s="1853" t="s">
        <v>3952</v>
      </c>
      <c r="E542" s="1853" t="s">
        <v>3953</v>
      </c>
      <c r="F542" s="1853" t="s">
        <v>2613</v>
      </c>
      <c r="G542" s="1853" t="s">
        <v>1</v>
      </c>
      <c r="H542" s="1853" t="s">
        <v>1</v>
      </c>
      <c r="I542" s="1853" t="s">
        <v>641</v>
      </c>
    </row>
    <row r="543" spans="1:9" ht="11.25" customHeight="1">
      <c r="A543" s="1853" t="s">
        <v>2101</v>
      </c>
      <c r="B543" s="1853" t="s">
        <v>0</v>
      </c>
      <c r="C543" s="1853" t="s">
        <v>3954</v>
      </c>
      <c r="D543" s="1853" t="s">
        <v>3955</v>
      </c>
      <c r="E543" s="1853" t="s">
        <v>3956</v>
      </c>
      <c r="F543" s="1853" t="s">
        <v>2230</v>
      </c>
      <c r="G543" s="1853" t="s">
        <v>1</v>
      </c>
      <c r="H543" s="1853" t="s">
        <v>1</v>
      </c>
      <c r="I543" s="1853" t="s">
        <v>641</v>
      </c>
    </row>
    <row r="544" spans="1:9" ht="11.25" customHeight="1">
      <c r="A544" s="1853" t="s">
        <v>2101</v>
      </c>
      <c r="B544" s="1853" t="s">
        <v>0</v>
      </c>
      <c r="C544" s="1853" t="s">
        <v>3957</v>
      </c>
      <c r="D544" s="1853" t="s">
        <v>3958</v>
      </c>
      <c r="E544" s="1853" t="s">
        <v>3959</v>
      </c>
      <c r="F544" s="1853" t="s">
        <v>2605</v>
      </c>
      <c r="G544" s="1853" t="s">
        <v>1</v>
      </c>
      <c r="H544" s="1853" t="s">
        <v>1</v>
      </c>
      <c r="I544" s="1853" t="s">
        <v>641</v>
      </c>
    </row>
    <row r="545" spans="1:9" ht="11.25" customHeight="1">
      <c r="A545" s="1853" t="s">
        <v>2101</v>
      </c>
      <c r="B545" s="1853" t="s">
        <v>0</v>
      </c>
      <c r="C545" s="1853" t="s">
        <v>3960</v>
      </c>
      <c r="D545" s="1853" t="s">
        <v>3961</v>
      </c>
      <c r="E545" s="1853" t="s">
        <v>3962</v>
      </c>
      <c r="F545" s="1853" t="s">
        <v>3963</v>
      </c>
      <c r="G545" s="1853" t="s">
        <v>1</v>
      </c>
      <c r="H545" s="1853" t="s">
        <v>1</v>
      </c>
      <c r="I545" s="1853" t="s">
        <v>641</v>
      </c>
    </row>
    <row r="546" spans="1:9" ht="11.25" customHeight="1">
      <c r="A546" s="1853" t="s">
        <v>2101</v>
      </c>
      <c r="B546" s="1853" t="s">
        <v>0</v>
      </c>
      <c r="C546" s="1853" t="s">
        <v>3964</v>
      </c>
      <c r="D546" s="1853" t="s">
        <v>3965</v>
      </c>
      <c r="E546" s="1853" t="s">
        <v>3966</v>
      </c>
      <c r="F546" s="1853" t="s">
        <v>2159</v>
      </c>
      <c r="G546" s="1853" t="s">
        <v>3045</v>
      </c>
      <c r="H546" s="1853" t="s">
        <v>1</v>
      </c>
      <c r="I546" s="1853" t="s">
        <v>641</v>
      </c>
    </row>
    <row r="547" spans="1:9" ht="11.25" customHeight="1">
      <c r="A547" s="1853" t="s">
        <v>2101</v>
      </c>
      <c r="B547" s="1853" t="s">
        <v>0</v>
      </c>
      <c r="C547" s="1853" t="s">
        <v>3967</v>
      </c>
      <c r="D547" s="1853" t="s">
        <v>3968</v>
      </c>
      <c r="E547" s="1853" t="s">
        <v>3969</v>
      </c>
      <c r="F547" s="1853" t="s">
        <v>2230</v>
      </c>
      <c r="G547" s="1853" t="s">
        <v>3970</v>
      </c>
      <c r="H547" s="1853" t="s">
        <v>1</v>
      </c>
      <c r="I547" s="1853" t="s">
        <v>641</v>
      </c>
    </row>
    <row r="548" spans="1:9" ht="11.25" customHeight="1">
      <c r="A548" s="1853" t="s">
        <v>2101</v>
      </c>
      <c r="B548" s="1853" t="s">
        <v>0</v>
      </c>
      <c r="C548" s="1853" t="s">
        <v>3971</v>
      </c>
      <c r="D548" s="1853" t="s">
        <v>3972</v>
      </c>
      <c r="E548" s="1853" t="s">
        <v>2382</v>
      </c>
      <c r="F548" s="1853" t="s">
        <v>3973</v>
      </c>
      <c r="G548" s="1853" t="s">
        <v>1</v>
      </c>
      <c r="H548" s="1853" t="s">
        <v>1</v>
      </c>
      <c r="I548" s="1853" t="s">
        <v>641</v>
      </c>
    </row>
    <row r="549" spans="1:9" ht="11.25" customHeight="1">
      <c r="A549" s="1853" t="s">
        <v>2101</v>
      </c>
      <c r="B549" s="1853" t="s">
        <v>0</v>
      </c>
      <c r="C549" s="1853" t="s">
        <v>3974</v>
      </c>
      <c r="D549" s="1853" t="s">
        <v>3975</v>
      </c>
      <c r="E549" s="1853" t="s">
        <v>2382</v>
      </c>
      <c r="F549" s="1853" t="s">
        <v>3976</v>
      </c>
      <c r="G549" s="1853" t="s">
        <v>1</v>
      </c>
      <c r="H549" s="1853" t="s">
        <v>1</v>
      </c>
      <c r="I549" s="1853" t="s">
        <v>641</v>
      </c>
    </row>
    <row r="550" spans="1:9" ht="11.25" customHeight="1">
      <c r="A550" s="1853" t="s">
        <v>2101</v>
      </c>
      <c r="B550" s="1853" t="s">
        <v>0</v>
      </c>
      <c r="C550" s="1853" t="s">
        <v>3977</v>
      </c>
      <c r="D550" s="1853" t="s">
        <v>3978</v>
      </c>
      <c r="E550" s="1853" t="s">
        <v>3979</v>
      </c>
      <c r="F550" s="1853" t="s">
        <v>2424</v>
      </c>
      <c r="G550" s="1853" t="s">
        <v>3980</v>
      </c>
      <c r="H550" s="1853" t="s">
        <v>1</v>
      </c>
      <c r="I550" s="1853" t="s">
        <v>641</v>
      </c>
    </row>
    <row r="551" spans="1:9" ht="11.25" customHeight="1">
      <c r="A551" s="1853" t="s">
        <v>2101</v>
      </c>
      <c r="B551" s="1853" t="s">
        <v>0</v>
      </c>
      <c r="C551" s="1853" t="s">
        <v>3981</v>
      </c>
      <c r="D551" s="1853" t="s">
        <v>3982</v>
      </c>
      <c r="E551" s="1853" t="s">
        <v>3983</v>
      </c>
      <c r="F551" s="1853" t="s">
        <v>2149</v>
      </c>
      <c r="G551" s="1853" t="s">
        <v>1</v>
      </c>
      <c r="H551" s="1853" t="s">
        <v>1</v>
      </c>
      <c r="I551" s="1853" t="s">
        <v>641</v>
      </c>
    </row>
    <row r="552" spans="1:9" ht="11.25" customHeight="1">
      <c r="A552" s="1853" t="s">
        <v>2101</v>
      </c>
      <c r="B552" s="1853" t="s">
        <v>0</v>
      </c>
      <c r="C552" s="1853" t="s">
        <v>3984</v>
      </c>
      <c r="D552" s="1853" t="s">
        <v>3985</v>
      </c>
      <c r="E552" s="1853" t="s">
        <v>3986</v>
      </c>
      <c r="F552" s="1853" t="s">
        <v>2589</v>
      </c>
      <c r="G552" s="1853" t="s">
        <v>1</v>
      </c>
      <c r="H552" s="1853" t="s">
        <v>1</v>
      </c>
      <c r="I552" s="1853" t="s">
        <v>641</v>
      </c>
    </row>
    <row r="553" spans="1:9" ht="11.25" customHeight="1">
      <c r="A553" s="1853" t="s">
        <v>2101</v>
      </c>
      <c r="B553" s="1853" t="s">
        <v>0</v>
      </c>
      <c r="C553" s="1853" t="s">
        <v>3987</v>
      </c>
      <c r="D553" s="1853" t="s">
        <v>3988</v>
      </c>
      <c r="E553" s="1853" t="s">
        <v>3989</v>
      </c>
      <c r="F553" s="1853" t="s">
        <v>2196</v>
      </c>
      <c r="G553" s="1853" t="s">
        <v>3574</v>
      </c>
      <c r="H553" s="1853" t="s">
        <v>1</v>
      </c>
      <c r="I553" s="1853" t="s">
        <v>641</v>
      </c>
    </row>
    <row r="554" spans="1:9" ht="11.25" customHeight="1">
      <c r="A554" s="1853" t="s">
        <v>2101</v>
      </c>
      <c r="B554" s="1853" t="s">
        <v>0</v>
      </c>
      <c r="C554" s="1853" t="s">
        <v>3990</v>
      </c>
      <c r="D554" s="1853" t="s">
        <v>3991</v>
      </c>
      <c r="E554" s="1853" t="s">
        <v>3992</v>
      </c>
      <c r="F554" s="1853" t="s">
        <v>2424</v>
      </c>
      <c r="G554" s="1853" t="s">
        <v>1</v>
      </c>
      <c r="H554" s="1853" t="s">
        <v>1</v>
      </c>
      <c r="I554" s="1853" t="s">
        <v>641</v>
      </c>
    </row>
    <row r="555" spans="1:9" ht="11.25" customHeight="1">
      <c r="A555" s="1853" t="s">
        <v>2101</v>
      </c>
      <c r="B555" s="1853" t="s">
        <v>0</v>
      </c>
      <c r="C555" s="1853" t="s">
        <v>3993</v>
      </c>
      <c r="D555" s="1853" t="s">
        <v>3994</v>
      </c>
      <c r="E555" s="1853" t="s">
        <v>3995</v>
      </c>
      <c r="F555" s="1853" t="s">
        <v>2568</v>
      </c>
      <c r="G555" s="1853" t="s">
        <v>1</v>
      </c>
      <c r="H555" s="1853" t="s">
        <v>1</v>
      </c>
      <c r="I555" s="1853" t="s">
        <v>641</v>
      </c>
    </row>
    <row r="556" spans="1:9" ht="11.25" customHeight="1">
      <c r="A556" s="1853" t="s">
        <v>2101</v>
      </c>
      <c r="B556" s="1853" t="s">
        <v>0</v>
      </c>
      <c r="C556" s="1853" t="s">
        <v>3996</v>
      </c>
      <c r="D556" s="1853" t="s">
        <v>3997</v>
      </c>
      <c r="E556" s="1853" t="s">
        <v>3998</v>
      </c>
      <c r="F556" s="1853" t="s">
        <v>2105</v>
      </c>
      <c r="G556" s="1853" t="s">
        <v>1</v>
      </c>
      <c r="H556" s="1853" t="s">
        <v>1</v>
      </c>
      <c r="I556" s="1853" t="s">
        <v>641</v>
      </c>
    </row>
    <row r="557" spans="1:9" ht="11.25" customHeight="1">
      <c r="A557" s="1853" t="s">
        <v>2101</v>
      </c>
      <c r="B557" s="1853" t="s">
        <v>0</v>
      </c>
      <c r="C557" s="1853" t="s">
        <v>3999</v>
      </c>
      <c r="D557" s="1853" t="s">
        <v>4000</v>
      </c>
      <c r="E557" s="1853" t="s">
        <v>4001</v>
      </c>
      <c r="F557" s="1853" t="s">
        <v>2187</v>
      </c>
      <c r="G557" s="1853" t="s">
        <v>1</v>
      </c>
      <c r="H557" s="1853" t="s">
        <v>1</v>
      </c>
      <c r="I557" s="1853" t="s">
        <v>641</v>
      </c>
    </row>
    <row r="558" spans="1:9" ht="11.25" customHeight="1">
      <c r="A558" s="1853" t="s">
        <v>2101</v>
      </c>
      <c r="B558" s="1853" t="s">
        <v>0</v>
      </c>
      <c r="C558" s="1853" t="s">
        <v>4002</v>
      </c>
      <c r="D558" s="1853" t="s">
        <v>4003</v>
      </c>
      <c r="E558" s="1853" t="s">
        <v>4004</v>
      </c>
      <c r="F558" s="1853" t="s">
        <v>2741</v>
      </c>
      <c r="G558" s="1853" t="s">
        <v>1</v>
      </c>
      <c r="H558" s="1853" t="s">
        <v>1</v>
      </c>
      <c r="I558" s="1853" t="s">
        <v>641</v>
      </c>
    </row>
    <row r="559" spans="1:9" ht="11.25" customHeight="1">
      <c r="A559" s="1853" t="s">
        <v>2101</v>
      </c>
      <c r="B559" s="1853" t="s">
        <v>0</v>
      </c>
      <c r="C559" s="1853" t="s">
        <v>4005</v>
      </c>
      <c r="D559" s="1853" t="s">
        <v>4006</v>
      </c>
      <c r="E559" s="1853" t="s">
        <v>4007</v>
      </c>
      <c r="F559" s="1853" t="s">
        <v>3019</v>
      </c>
      <c r="G559" s="1853" t="s">
        <v>1</v>
      </c>
      <c r="H559" s="1853" t="s">
        <v>1</v>
      </c>
      <c r="I559" s="1853" t="s">
        <v>641</v>
      </c>
    </row>
    <row r="560" spans="1:9" ht="11.25" customHeight="1">
      <c r="A560" s="1853" t="s">
        <v>2101</v>
      </c>
      <c r="B560" s="1853" t="s">
        <v>0</v>
      </c>
      <c r="C560" s="1853" t="s">
        <v>4008</v>
      </c>
      <c r="D560" s="1853" t="s">
        <v>4009</v>
      </c>
      <c r="E560" s="1853" t="s">
        <v>4010</v>
      </c>
      <c r="F560" s="1853" t="s">
        <v>2329</v>
      </c>
      <c r="G560" s="1853" t="s">
        <v>1</v>
      </c>
      <c r="H560" s="1853" t="s">
        <v>1</v>
      </c>
      <c r="I560" s="1853" t="s">
        <v>641</v>
      </c>
    </row>
    <row r="561" spans="1:9" ht="11.25" customHeight="1">
      <c r="A561" s="1853" t="s">
        <v>2101</v>
      </c>
      <c r="B561" s="1853" t="s">
        <v>0</v>
      </c>
      <c r="C561" s="1853" t="s">
        <v>4011</v>
      </c>
      <c r="D561" s="1853" t="s">
        <v>4012</v>
      </c>
      <c r="E561" s="1853" t="s">
        <v>4013</v>
      </c>
      <c r="F561" s="1853" t="s">
        <v>4014</v>
      </c>
      <c r="G561" s="1853" t="s">
        <v>1</v>
      </c>
      <c r="H561" s="1853" t="s">
        <v>1</v>
      </c>
      <c r="I561" s="1853" t="s">
        <v>641</v>
      </c>
    </row>
    <row r="562" spans="1:9" ht="11.25" customHeight="1">
      <c r="A562" s="1853" t="s">
        <v>2101</v>
      </c>
      <c r="B562" s="1853" t="s">
        <v>0</v>
      </c>
      <c r="C562" s="1853" t="s">
        <v>4015</v>
      </c>
      <c r="D562" s="1853" t="s">
        <v>4016</v>
      </c>
      <c r="E562" s="1853" t="s">
        <v>4017</v>
      </c>
      <c r="F562" s="1853" t="s">
        <v>4018</v>
      </c>
      <c r="G562" s="1853" t="s">
        <v>1</v>
      </c>
      <c r="H562" s="1853" t="s">
        <v>1</v>
      </c>
      <c r="I562" s="1853" t="s">
        <v>641</v>
      </c>
    </row>
    <row r="563" spans="1:9" ht="11.25" customHeight="1">
      <c r="A563" s="1853" t="s">
        <v>2101</v>
      </c>
      <c r="B563" s="1853" t="s">
        <v>0</v>
      </c>
      <c r="C563" s="1853" t="s">
        <v>4019</v>
      </c>
      <c r="D563" s="1853" t="s">
        <v>4020</v>
      </c>
      <c r="E563" s="1853" t="s">
        <v>4021</v>
      </c>
      <c r="F563" s="1853" t="s">
        <v>2416</v>
      </c>
      <c r="G563" s="1853" t="s">
        <v>3574</v>
      </c>
      <c r="H563" s="1853" t="s">
        <v>1</v>
      </c>
      <c r="I563" s="1853" t="s">
        <v>641</v>
      </c>
    </row>
    <row r="564" spans="1:9" ht="11.25" customHeight="1">
      <c r="A564" s="1853" t="s">
        <v>2101</v>
      </c>
      <c r="B564" s="1853" t="s">
        <v>0</v>
      </c>
      <c r="C564" s="1853" t="s">
        <v>4022</v>
      </c>
      <c r="D564" s="1853" t="s">
        <v>4023</v>
      </c>
      <c r="E564" s="1853" t="s">
        <v>4024</v>
      </c>
      <c r="F564" s="1853" t="s">
        <v>4025</v>
      </c>
      <c r="G564" s="1853" t="s">
        <v>1</v>
      </c>
      <c r="H564" s="1853" t="s">
        <v>1</v>
      </c>
      <c r="I564" s="1853" t="s">
        <v>641</v>
      </c>
    </row>
    <row r="565" spans="1:9" ht="11.25" customHeight="1">
      <c r="A565" s="1853" t="s">
        <v>2101</v>
      </c>
      <c r="B565" s="1853" t="s">
        <v>0</v>
      </c>
      <c r="C565" s="1853" t="s">
        <v>4026</v>
      </c>
      <c r="D565" s="1853" t="s">
        <v>4027</v>
      </c>
      <c r="E565" s="1853" t="s">
        <v>4028</v>
      </c>
      <c r="F565" s="1853" t="s">
        <v>3878</v>
      </c>
      <c r="G565" s="1853" t="s">
        <v>4029</v>
      </c>
      <c r="H565" s="1853" t="s">
        <v>1</v>
      </c>
      <c r="I565" s="1853" t="s">
        <v>641</v>
      </c>
    </row>
    <row r="566" spans="1:9" ht="11.25" customHeight="1">
      <c r="A566" s="1853" t="s">
        <v>2101</v>
      </c>
      <c r="B566" s="1853" t="s">
        <v>0</v>
      </c>
      <c r="C566" s="1853" t="s">
        <v>4030</v>
      </c>
      <c r="D566" s="1853" t="s">
        <v>4031</v>
      </c>
      <c r="E566" s="1853" t="s">
        <v>4032</v>
      </c>
      <c r="F566" s="1853" t="s">
        <v>2222</v>
      </c>
      <c r="G566" s="1853" t="s">
        <v>1</v>
      </c>
      <c r="H566" s="1853" t="s">
        <v>1</v>
      </c>
      <c r="I566" s="1853" t="s">
        <v>641</v>
      </c>
    </row>
    <row r="567" spans="1:9" ht="11.25" customHeight="1">
      <c r="A567" s="1853" t="s">
        <v>2101</v>
      </c>
      <c r="B567" s="1853" t="s">
        <v>0</v>
      </c>
      <c r="C567" s="1853" t="s">
        <v>4033</v>
      </c>
      <c r="D567" s="1853" t="s">
        <v>4034</v>
      </c>
      <c r="E567" s="1853" t="s">
        <v>4035</v>
      </c>
      <c r="F567" s="1853" t="s">
        <v>2159</v>
      </c>
      <c r="G567" s="1853" t="s">
        <v>4036</v>
      </c>
      <c r="H567" s="1853" t="s">
        <v>1</v>
      </c>
      <c r="I567" s="1853" t="s">
        <v>641</v>
      </c>
    </row>
    <row r="568" spans="1:9" ht="11.25" customHeight="1">
      <c r="A568" s="1853" t="s">
        <v>2101</v>
      </c>
      <c r="B568" s="1853" t="s">
        <v>0</v>
      </c>
      <c r="C568" s="1853" t="s">
        <v>4037</v>
      </c>
      <c r="D568" s="1853" t="s">
        <v>4038</v>
      </c>
      <c r="E568" s="1853" t="s">
        <v>4039</v>
      </c>
      <c r="F568" s="1853" t="s">
        <v>2159</v>
      </c>
      <c r="G568" s="1853" t="s">
        <v>1</v>
      </c>
      <c r="H568" s="1853" t="s">
        <v>1</v>
      </c>
      <c r="I568" s="1853" t="s">
        <v>641</v>
      </c>
    </row>
    <row r="569" spans="1:9" ht="11.25" customHeight="1">
      <c r="A569" s="1853" t="s">
        <v>2101</v>
      </c>
      <c r="B569" s="1853" t="s">
        <v>0</v>
      </c>
      <c r="C569" s="1853" t="s">
        <v>4040</v>
      </c>
      <c r="D569" s="1853" t="s">
        <v>4041</v>
      </c>
      <c r="E569" s="1853" t="s">
        <v>4042</v>
      </c>
      <c r="F569" s="1853" t="s">
        <v>2561</v>
      </c>
      <c r="G569" s="1853" t="s">
        <v>1</v>
      </c>
      <c r="H569" s="1853" t="s">
        <v>1</v>
      </c>
      <c r="I569" s="1853" t="s">
        <v>641</v>
      </c>
    </row>
    <row r="570" spans="1:9" ht="11.25" customHeight="1">
      <c r="A570" s="1853" t="s">
        <v>2101</v>
      </c>
      <c r="B570" s="1853" t="s">
        <v>0</v>
      </c>
      <c r="C570" s="1853" t="s">
        <v>4043</v>
      </c>
      <c r="D570" s="1853" t="s">
        <v>4044</v>
      </c>
      <c r="E570" s="1853" t="s">
        <v>4045</v>
      </c>
      <c r="F570" s="1853" t="s">
        <v>2561</v>
      </c>
      <c r="G570" s="1853" t="s">
        <v>1</v>
      </c>
      <c r="H570" s="1853" t="s">
        <v>1</v>
      </c>
      <c r="I570" s="1853" t="s">
        <v>641</v>
      </c>
    </row>
    <row r="571" spans="1:9" ht="11.25" customHeight="1">
      <c r="A571" s="1853" t="s">
        <v>2101</v>
      </c>
      <c r="B571" s="1853" t="s">
        <v>0</v>
      </c>
      <c r="C571" s="1853" t="s">
        <v>4046</v>
      </c>
      <c r="D571" s="1853" t="s">
        <v>4047</v>
      </c>
      <c r="E571" s="1853" t="s">
        <v>4048</v>
      </c>
      <c r="F571" s="1853" t="s">
        <v>2207</v>
      </c>
      <c r="G571" s="1853" t="s">
        <v>1</v>
      </c>
      <c r="H571" s="1853" t="s">
        <v>1</v>
      </c>
      <c r="I571" s="1853" t="s">
        <v>641</v>
      </c>
    </row>
    <row r="572" spans="1:9" ht="11.25" customHeight="1">
      <c r="A572" s="1853" t="s">
        <v>2101</v>
      </c>
      <c r="B572" s="1853" t="s">
        <v>0</v>
      </c>
      <c r="C572" s="1853" t="s">
        <v>4049</v>
      </c>
      <c r="D572" s="1853" t="s">
        <v>4050</v>
      </c>
      <c r="E572" s="1853" t="s">
        <v>4051</v>
      </c>
      <c r="F572" s="1853" t="s">
        <v>2211</v>
      </c>
      <c r="G572" s="1853" t="s">
        <v>4052</v>
      </c>
      <c r="H572" s="1853" t="s">
        <v>1</v>
      </c>
      <c r="I572" s="1853" t="s">
        <v>641</v>
      </c>
    </row>
    <row r="573" spans="1:9" ht="11.25" customHeight="1">
      <c r="A573" s="1853" t="s">
        <v>2101</v>
      </c>
      <c r="B573" s="1853" t="s">
        <v>0</v>
      </c>
      <c r="C573" s="1853" t="s">
        <v>4053</v>
      </c>
      <c r="D573" s="1853" t="s">
        <v>4054</v>
      </c>
      <c r="E573" s="1853" t="s">
        <v>4055</v>
      </c>
      <c r="F573" s="1853" t="s">
        <v>2178</v>
      </c>
      <c r="G573" s="1853" t="s">
        <v>4056</v>
      </c>
      <c r="H573" s="1853" t="s">
        <v>1</v>
      </c>
      <c r="I573" s="1853" t="s">
        <v>641</v>
      </c>
    </row>
    <row r="574" spans="1:9" ht="11.25" customHeight="1">
      <c r="A574" s="1853" t="s">
        <v>2101</v>
      </c>
      <c r="B574" s="1853" t="s">
        <v>0</v>
      </c>
      <c r="C574" s="1853" t="s">
        <v>4057</v>
      </c>
      <c r="D574" s="1853" t="s">
        <v>4058</v>
      </c>
      <c r="E574" s="1853" t="s">
        <v>4059</v>
      </c>
      <c r="F574" s="1853" t="s">
        <v>3087</v>
      </c>
      <c r="G574" s="1853" t="s">
        <v>4060</v>
      </c>
      <c r="H574" s="1853" t="s">
        <v>1</v>
      </c>
      <c r="I574" s="1853" t="s">
        <v>641</v>
      </c>
    </row>
    <row r="575" spans="1:9" ht="11.25" customHeight="1">
      <c r="A575" s="1853" t="s">
        <v>2101</v>
      </c>
      <c r="B575" s="1853" t="s">
        <v>0</v>
      </c>
      <c r="C575" s="1853" t="s">
        <v>4061</v>
      </c>
      <c r="D575" s="1853" t="s">
        <v>4062</v>
      </c>
      <c r="E575" s="1853" t="s">
        <v>4063</v>
      </c>
      <c r="F575" s="1853" t="s">
        <v>4064</v>
      </c>
      <c r="G575" s="1853" t="s">
        <v>4065</v>
      </c>
      <c r="H575" s="1853" t="s">
        <v>1</v>
      </c>
      <c r="I575" s="1853" t="s">
        <v>641</v>
      </c>
    </row>
    <row r="576" spans="1:9" ht="11.25" customHeight="1">
      <c r="A576" s="1853" t="s">
        <v>2101</v>
      </c>
      <c r="B576" s="1853" t="s">
        <v>0</v>
      </c>
      <c r="C576" s="1853" t="s">
        <v>4066</v>
      </c>
      <c r="D576" s="1853" t="s">
        <v>4067</v>
      </c>
      <c r="E576" s="1853" t="s">
        <v>4068</v>
      </c>
      <c r="F576" s="1853" t="s">
        <v>2141</v>
      </c>
      <c r="G576" s="1853" t="s">
        <v>4069</v>
      </c>
      <c r="H576" s="1853" t="s">
        <v>1</v>
      </c>
      <c r="I576" s="1853" t="s">
        <v>641</v>
      </c>
    </row>
    <row r="577" spans="1:9" ht="11.25" customHeight="1">
      <c r="A577" s="1853" t="s">
        <v>2101</v>
      </c>
      <c r="B577" s="1853" t="s">
        <v>0</v>
      </c>
      <c r="C577" s="1853" t="s">
        <v>4070</v>
      </c>
      <c r="D577" s="1853" t="s">
        <v>4071</v>
      </c>
      <c r="E577" s="1853" t="s">
        <v>4072</v>
      </c>
      <c r="F577" s="1853" t="s">
        <v>2230</v>
      </c>
      <c r="G577" s="1853" t="s">
        <v>1</v>
      </c>
      <c r="H577" s="1853" t="s">
        <v>1</v>
      </c>
      <c r="I577" s="1853" t="s">
        <v>641</v>
      </c>
    </row>
    <row r="578" spans="1:9" ht="11.25" customHeight="1">
      <c r="A578" s="1853" t="s">
        <v>2101</v>
      </c>
      <c r="B578" s="1853" t="s">
        <v>0</v>
      </c>
      <c r="C578" s="1853" t="s">
        <v>4073</v>
      </c>
      <c r="D578" s="1853" t="s">
        <v>4074</v>
      </c>
      <c r="E578" s="1853" t="s">
        <v>4032</v>
      </c>
      <c r="F578" s="1853" t="s">
        <v>4075</v>
      </c>
      <c r="G578" s="1853" t="s">
        <v>1</v>
      </c>
      <c r="H578" s="1853" t="s">
        <v>1</v>
      </c>
      <c r="I578" s="1853" t="s">
        <v>641</v>
      </c>
    </row>
    <row r="579" spans="1:9" ht="11.25" customHeight="1">
      <c r="A579" s="1853" t="s">
        <v>2101</v>
      </c>
      <c r="B579" s="1853" t="s">
        <v>0</v>
      </c>
      <c r="C579" s="1853" t="s">
        <v>4076</v>
      </c>
      <c r="D579" s="1853" t="s">
        <v>4077</v>
      </c>
      <c r="E579" s="1853" t="s">
        <v>4032</v>
      </c>
      <c r="F579" s="1853" t="s">
        <v>2676</v>
      </c>
      <c r="G579" s="1853" t="s">
        <v>4078</v>
      </c>
      <c r="H579" s="1853" t="s">
        <v>1</v>
      </c>
      <c r="I579" s="1853" t="s">
        <v>641</v>
      </c>
    </row>
    <row r="580" spans="1:9" ht="11.25" customHeight="1">
      <c r="A580" s="1853" t="s">
        <v>2101</v>
      </c>
      <c r="B580" s="1853" t="s">
        <v>0</v>
      </c>
      <c r="C580" s="1853" t="s">
        <v>4079</v>
      </c>
      <c r="D580" s="1853" t="s">
        <v>4080</v>
      </c>
      <c r="E580" s="1853" t="s">
        <v>4081</v>
      </c>
      <c r="F580" s="1853" t="s">
        <v>2379</v>
      </c>
      <c r="G580" s="1853" t="s">
        <v>1</v>
      </c>
      <c r="H580" s="1853" t="s">
        <v>1</v>
      </c>
      <c r="I580" s="1853" t="s">
        <v>641</v>
      </c>
    </row>
    <row r="581" spans="1:9" ht="11.25" customHeight="1">
      <c r="A581" s="1853" t="s">
        <v>2101</v>
      </c>
      <c r="B581" s="1853" t="s">
        <v>0</v>
      </c>
      <c r="C581" s="1853" t="s">
        <v>4082</v>
      </c>
      <c r="D581" s="1853" t="s">
        <v>4083</v>
      </c>
      <c r="E581" s="1853" t="s">
        <v>4084</v>
      </c>
      <c r="F581" s="1853" t="s">
        <v>2132</v>
      </c>
      <c r="G581" s="1853" t="s">
        <v>4085</v>
      </c>
      <c r="H581" s="1853" t="s">
        <v>1</v>
      </c>
      <c r="I581" s="1853" t="s">
        <v>641</v>
      </c>
    </row>
    <row r="582" spans="1:9" ht="11.25" customHeight="1">
      <c r="A582" s="1853" t="s">
        <v>2101</v>
      </c>
      <c r="B582" s="1853" t="s">
        <v>0</v>
      </c>
      <c r="C582" s="1853" t="s">
        <v>4086</v>
      </c>
      <c r="D582" s="1853" t="s">
        <v>4087</v>
      </c>
      <c r="E582" s="1853" t="s">
        <v>4088</v>
      </c>
      <c r="F582" s="1853" t="s">
        <v>3079</v>
      </c>
      <c r="G582" s="1853" t="s">
        <v>1</v>
      </c>
      <c r="H582" s="1853" t="s">
        <v>1</v>
      </c>
      <c r="I582" s="1853" t="s">
        <v>641</v>
      </c>
    </row>
    <row r="583" spans="1:9" ht="11.25" customHeight="1">
      <c r="A583" s="1853" t="s">
        <v>2101</v>
      </c>
      <c r="B583" s="1853" t="s">
        <v>0</v>
      </c>
      <c r="C583" s="1853" t="s">
        <v>4089</v>
      </c>
      <c r="D583" s="1853" t="s">
        <v>4090</v>
      </c>
      <c r="E583" s="1853" t="s">
        <v>4091</v>
      </c>
      <c r="F583" s="1853" t="s">
        <v>2568</v>
      </c>
      <c r="G583" s="1853" t="s">
        <v>1</v>
      </c>
      <c r="H583" s="1853" t="s">
        <v>1</v>
      </c>
      <c r="I583" s="1853" t="s">
        <v>641</v>
      </c>
    </row>
    <row r="584" spans="1:9" ht="11.25" customHeight="1">
      <c r="A584" s="1853" t="s">
        <v>2101</v>
      </c>
      <c r="B584" s="1853" t="s">
        <v>0</v>
      </c>
      <c r="C584" s="1853" t="s">
        <v>4092</v>
      </c>
      <c r="D584" s="1853" t="s">
        <v>4093</v>
      </c>
      <c r="E584" s="1853" t="s">
        <v>4094</v>
      </c>
      <c r="F584" s="1853" t="s">
        <v>2105</v>
      </c>
      <c r="G584" s="1853" t="s">
        <v>1</v>
      </c>
      <c r="H584" s="1853" t="s">
        <v>1</v>
      </c>
      <c r="I584" s="1853" t="s">
        <v>641</v>
      </c>
    </row>
    <row r="585" spans="1:9" ht="11.25" customHeight="1">
      <c r="A585" s="1853" t="s">
        <v>2101</v>
      </c>
      <c r="B585" s="1853" t="s">
        <v>0</v>
      </c>
      <c r="C585" s="1853" t="s">
        <v>4095</v>
      </c>
      <c r="D585" s="1853" t="s">
        <v>4096</v>
      </c>
      <c r="E585" s="1853" t="s">
        <v>4097</v>
      </c>
      <c r="F585" s="1853" t="s">
        <v>3425</v>
      </c>
      <c r="G585" s="1853" t="s">
        <v>1</v>
      </c>
      <c r="H585" s="1853" t="s">
        <v>1</v>
      </c>
      <c r="I585" s="1853" t="s">
        <v>641</v>
      </c>
    </row>
    <row r="586" spans="1:9" ht="11.25" customHeight="1">
      <c r="A586" s="1853" t="s">
        <v>2101</v>
      </c>
      <c r="B586" s="1853" t="s">
        <v>0</v>
      </c>
      <c r="C586" s="1853" t="s">
        <v>4098</v>
      </c>
      <c r="D586" s="1853" t="s">
        <v>4099</v>
      </c>
      <c r="E586" s="1853" t="s">
        <v>4100</v>
      </c>
      <c r="F586" s="1853" t="s">
        <v>2178</v>
      </c>
      <c r="G586" s="1853" t="s">
        <v>1</v>
      </c>
      <c r="H586" s="1853" t="s">
        <v>1</v>
      </c>
      <c r="I586" s="1853" t="s">
        <v>641</v>
      </c>
    </row>
    <row r="587" spans="1:9" ht="11.25" customHeight="1">
      <c r="A587" s="1853" t="s">
        <v>2101</v>
      </c>
      <c r="B587" s="1853" t="s">
        <v>0</v>
      </c>
      <c r="C587" s="1853" t="s">
        <v>4101</v>
      </c>
      <c r="D587" s="1853" t="s">
        <v>4102</v>
      </c>
      <c r="E587" s="1853" t="s">
        <v>4103</v>
      </c>
      <c r="F587" s="1853" t="s">
        <v>2105</v>
      </c>
      <c r="G587" s="1853" t="s">
        <v>4104</v>
      </c>
      <c r="H587" s="1853" t="s">
        <v>1</v>
      </c>
      <c r="I587" s="1853" t="s">
        <v>641</v>
      </c>
    </row>
    <row r="588" spans="1:9" ht="11.25" customHeight="1">
      <c r="A588" s="1853" t="s">
        <v>2101</v>
      </c>
      <c r="B588" s="1853" t="s">
        <v>0</v>
      </c>
      <c r="C588" s="1853" t="s">
        <v>4105</v>
      </c>
      <c r="D588" s="1853" t="s">
        <v>4106</v>
      </c>
      <c r="E588" s="1853" t="s">
        <v>4107</v>
      </c>
      <c r="F588" s="1853" t="s">
        <v>4108</v>
      </c>
      <c r="G588" s="1853" t="s">
        <v>1</v>
      </c>
      <c r="H588" s="1853" t="s">
        <v>1</v>
      </c>
      <c r="I588" s="1853" t="s">
        <v>641</v>
      </c>
    </row>
    <row r="589" spans="1:9" ht="11.25" customHeight="1">
      <c r="A589" s="1853" t="s">
        <v>2101</v>
      </c>
      <c r="B589" s="1853" t="s">
        <v>0</v>
      </c>
      <c r="C589" s="1853" t="s">
        <v>4109</v>
      </c>
      <c r="D589" s="1853" t="s">
        <v>4110</v>
      </c>
      <c r="E589" s="1853" t="s">
        <v>4111</v>
      </c>
      <c r="F589" s="1853" t="s">
        <v>4112</v>
      </c>
      <c r="G589" s="1853" t="s">
        <v>4113</v>
      </c>
      <c r="H589" s="1853" t="s">
        <v>1</v>
      </c>
      <c r="I589" s="1853" t="s">
        <v>641</v>
      </c>
    </row>
    <row r="590" spans="1:9" ht="11.25" customHeight="1">
      <c r="A590" s="1853" t="s">
        <v>2101</v>
      </c>
      <c r="B590" s="1853" t="s">
        <v>0</v>
      </c>
      <c r="C590" s="1853" t="s">
        <v>4114</v>
      </c>
      <c r="D590" s="1853" t="s">
        <v>4115</v>
      </c>
      <c r="E590" s="1853" t="s">
        <v>4116</v>
      </c>
      <c r="F590" s="1853" t="s">
        <v>4117</v>
      </c>
      <c r="G590" s="1853" t="s">
        <v>1</v>
      </c>
      <c r="H590" s="1853" t="s">
        <v>1</v>
      </c>
      <c r="I590" s="1853" t="s">
        <v>641</v>
      </c>
    </row>
    <row r="591" spans="1:9" ht="11.25" customHeight="1">
      <c r="A591" s="1853" t="s">
        <v>2101</v>
      </c>
      <c r="B591" s="1853" t="s">
        <v>0</v>
      </c>
      <c r="C591" s="1853" t="s">
        <v>4118</v>
      </c>
      <c r="D591" s="1853" t="s">
        <v>4119</v>
      </c>
      <c r="E591" s="1853" t="s">
        <v>4120</v>
      </c>
      <c r="F591" s="1853" t="s">
        <v>2105</v>
      </c>
      <c r="G591" s="1853" t="s">
        <v>1</v>
      </c>
      <c r="H591" s="1853" t="s">
        <v>1</v>
      </c>
      <c r="I591" s="1853" t="s">
        <v>641</v>
      </c>
    </row>
    <row r="592" spans="1:9" ht="11.25" customHeight="1">
      <c r="A592" s="1853" t="s">
        <v>2101</v>
      </c>
      <c r="B592" s="1853" t="s">
        <v>0</v>
      </c>
      <c r="C592" s="1853" t="s">
        <v>4121</v>
      </c>
      <c r="D592" s="1853" t="s">
        <v>4122</v>
      </c>
      <c r="E592" s="1853" t="s">
        <v>4123</v>
      </c>
      <c r="F592" s="1853" t="s">
        <v>2105</v>
      </c>
      <c r="G592" s="1853" t="s">
        <v>4124</v>
      </c>
      <c r="H592" s="1853" t="s">
        <v>1</v>
      </c>
      <c r="I592" s="1853" t="s">
        <v>641</v>
      </c>
    </row>
    <row r="593" spans="1:9" ht="11.25" customHeight="1">
      <c r="A593" s="1853" t="s">
        <v>2101</v>
      </c>
      <c r="B593" s="1853" t="s">
        <v>0</v>
      </c>
      <c r="C593" s="1853" t="s">
        <v>4125</v>
      </c>
      <c r="D593" s="1853" t="s">
        <v>4126</v>
      </c>
      <c r="E593" s="1853" t="s">
        <v>4127</v>
      </c>
      <c r="F593" s="1853" t="s">
        <v>2222</v>
      </c>
      <c r="G593" s="1853" t="s">
        <v>1</v>
      </c>
      <c r="H593" s="1853" t="s">
        <v>1</v>
      </c>
      <c r="I593" s="1853" t="s">
        <v>641</v>
      </c>
    </row>
    <row r="594" spans="1:9" ht="11.25" customHeight="1">
      <c r="A594" s="1853" t="s">
        <v>2101</v>
      </c>
      <c r="B594" s="1853" t="s">
        <v>0</v>
      </c>
      <c r="C594" s="1853" t="s">
        <v>4128</v>
      </c>
      <c r="D594" s="1853" t="s">
        <v>4129</v>
      </c>
      <c r="E594" s="1853" t="s">
        <v>4130</v>
      </c>
      <c r="F594" s="1853" t="s">
        <v>4131</v>
      </c>
      <c r="G594" s="1853" t="s">
        <v>1</v>
      </c>
      <c r="H594" s="1853" t="s">
        <v>1</v>
      </c>
      <c r="I594" s="1853" t="s">
        <v>641</v>
      </c>
    </row>
    <row r="595" spans="1:9" ht="11.25" customHeight="1">
      <c r="A595" s="1853" t="s">
        <v>2101</v>
      </c>
      <c r="B595" s="1853" t="s">
        <v>0</v>
      </c>
      <c r="C595" s="1853" t="s">
        <v>4132</v>
      </c>
      <c r="D595" s="1853" t="s">
        <v>4133</v>
      </c>
      <c r="E595" s="1853" t="s">
        <v>4134</v>
      </c>
      <c r="F595" s="1853" t="s">
        <v>2173</v>
      </c>
      <c r="G595" s="1853" t="s">
        <v>1</v>
      </c>
      <c r="H595" s="1853" t="s">
        <v>1</v>
      </c>
      <c r="I595" s="1853" t="s">
        <v>641</v>
      </c>
    </row>
    <row r="596" spans="1:9" ht="11.25" customHeight="1">
      <c r="A596" s="1853" t="s">
        <v>2101</v>
      </c>
      <c r="B596" s="1853" t="s">
        <v>0</v>
      </c>
      <c r="C596" s="1853" t="s">
        <v>4135</v>
      </c>
      <c r="D596" s="1853" t="s">
        <v>4136</v>
      </c>
      <c r="E596" s="1853" t="s">
        <v>4137</v>
      </c>
      <c r="F596" s="1853" t="s">
        <v>2222</v>
      </c>
      <c r="G596" s="1853" t="s">
        <v>1</v>
      </c>
      <c r="H596" s="1853" t="s">
        <v>1</v>
      </c>
      <c r="I596" s="1853" t="s">
        <v>641</v>
      </c>
    </row>
    <row r="597" spans="1:9" ht="11.25" customHeight="1">
      <c r="A597" s="1853" t="s">
        <v>2101</v>
      </c>
      <c r="B597" s="1853" t="s">
        <v>0</v>
      </c>
      <c r="C597" s="1853" t="s">
        <v>4138</v>
      </c>
      <c r="D597" s="1853" t="s">
        <v>4139</v>
      </c>
      <c r="E597" s="1853" t="s">
        <v>4140</v>
      </c>
      <c r="F597" s="1853" t="s">
        <v>2178</v>
      </c>
      <c r="G597" s="1853" t="s">
        <v>1</v>
      </c>
      <c r="H597" s="1853" t="s">
        <v>1</v>
      </c>
      <c r="I597" s="1853" t="s">
        <v>641</v>
      </c>
    </row>
    <row r="598" spans="1:9" ht="11.25" customHeight="1">
      <c r="A598" s="1853" t="s">
        <v>2101</v>
      </c>
      <c r="B598" s="1853" t="s">
        <v>0</v>
      </c>
      <c r="C598" s="1853" t="s">
        <v>4141</v>
      </c>
      <c r="D598" s="1853" t="s">
        <v>4142</v>
      </c>
      <c r="E598" s="1853" t="s">
        <v>4143</v>
      </c>
      <c r="F598" s="1853" t="s">
        <v>2196</v>
      </c>
      <c r="G598" s="1853" t="s">
        <v>4144</v>
      </c>
      <c r="H598" s="1853" t="s">
        <v>1</v>
      </c>
      <c r="I598" s="1853" t="s">
        <v>641</v>
      </c>
    </row>
    <row r="599" spans="1:9" ht="11.25" customHeight="1">
      <c r="A599" s="1853" t="s">
        <v>2101</v>
      </c>
      <c r="B599" s="1853" t="s">
        <v>0</v>
      </c>
      <c r="C599" s="1853" t="s">
        <v>4145</v>
      </c>
      <c r="D599" s="1853" t="s">
        <v>4146</v>
      </c>
      <c r="E599" s="1853" t="s">
        <v>4147</v>
      </c>
      <c r="F599" s="1853" t="s">
        <v>2416</v>
      </c>
      <c r="G599" s="1853" t="s">
        <v>1</v>
      </c>
      <c r="H599" s="1853" t="s">
        <v>1</v>
      </c>
      <c r="I599" s="1853" t="s">
        <v>641</v>
      </c>
    </row>
    <row r="600" spans="1:9" ht="11.25" customHeight="1">
      <c r="A600" s="1853" t="s">
        <v>2101</v>
      </c>
      <c r="B600" s="1853" t="s">
        <v>0</v>
      </c>
      <c r="C600" s="1853" t="s">
        <v>4148</v>
      </c>
      <c r="D600" s="1853" t="s">
        <v>4149</v>
      </c>
      <c r="E600" s="1853" t="s">
        <v>4150</v>
      </c>
      <c r="F600" s="1853" t="s">
        <v>3008</v>
      </c>
      <c r="G600" s="1853" t="s">
        <v>1</v>
      </c>
      <c r="H600" s="1853" t="s">
        <v>1</v>
      </c>
      <c r="I600" s="1853" t="s">
        <v>641</v>
      </c>
    </row>
    <row r="601" spans="1:9" ht="11.25" customHeight="1">
      <c r="A601" s="1853" t="s">
        <v>2101</v>
      </c>
      <c r="B601" s="1853" t="s">
        <v>0</v>
      </c>
      <c r="C601" s="1853" t="s">
        <v>4151</v>
      </c>
      <c r="D601" s="1853" t="s">
        <v>4152</v>
      </c>
      <c r="E601" s="1853" t="s">
        <v>4127</v>
      </c>
      <c r="F601" s="1853" t="s">
        <v>2605</v>
      </c>
      <c r="G601" s="1853" t="s">
        <v>4153</v>
      </c>
      <c r="H601" s="1853" t="s">
        <v>1</v>
      </c>
      <c r="I601" s="1853" t="s">
        <v>641</v>
      </c>
    </row>
    <row r="602" spans="1:9" ht="11.25" customHeight="1">
      <c r="A602" s="1853" t="s">
        <v>2101</v>
      </c>
      <c r="B602" s="1853" t="s">
        <v>0</v>
      </c>
      <c r="C602" s="1853" t="s">
        <v>4154</v>
      </c>
      <c r="D602" s="1853" t="s">
        <v>4155</v>
      </c>
      <c r="E602" s="1853" t="s">
        <v>4156</v>
      </c>
      <c r="F602" s="1853" t="s">
        <v>3087</v>
      </c>
      <c r="G602" s="1853" t="s">
        <v>1</v>
      </c>
      <c r="H602" s="1853" t="s">
        <v>1</v>
      </c>
      <c r="I602" s="1853" t="s">
        <v>641</v>
      </c>
    </row>
    <row r="603" spans="1:9" ht="11.25" customHeight="1">
      <c r="A603" s="1853" t="s">
        <v>2101</v>
      </c>
      <c r="B603" s="1853" t="s">
        <v>0</v>
      </c>
      <c r="C603" s="1853" t="s">
        <v>4157</v>
      </c>
      <c r="D603" s="1853" t="s">
        <v>4158</v>
      </c>
      <c r="E603" s="1853" t="s">
        <v>4063</v>
      </c>
      <c r="F603" s="1853" t="s">
        <v>4159</v>
      </c>
      <c r="G603" s="1853" t="s">
        <v>4160</v>
      </c>
      <c r="H603" s="1853" t="s">
        <v>1</v>
      </c>
      <c r="I603" s="1853" t="s">
        <v>641</v>
      </c>
    </row>
    <row r="604" spans="1:9" ht="11.25" customHeight="1">
      <c r="A604" s="1853" t="s">
        <v>2101</v>
      </c>
      <c r="B604" s="1853" t="s">
        <v>0</v>
      </c>
      <c r="C604" s="1853" t="s">
        <v>4161</v>
      </c>
      <c r="D604" s="1853" t="s">
        <v>4162</v>
      </c>
      <c r="E604" s="1853" t="s">
        <v>2415</v>
      </c>
      <c r="F604" s="1853" t="s">
        <v>4163</v>
      </c>
      <c r="G604" s="1853" t="s">
        <v>1</v>
      </c>
      <c r="H604" s="1853" t="s">
        <v>1</v>
      </c>
      <c r="I604" s="1853" t="s">
        <v>641</v>
      </c>
    </row>
    <row r="605" spans="1:9" ht="11.25" customHeight="1">
      <c r="A605" s="1853" t="s">
        <v>2101</v>
      </c>
      <c r="B605" s="1853" t="s">
        <v>0</v>
      </c>
      <c r="C605" s="1853" t="s">
        <v>4164</v>
      </c>
      <c r="D605" s="1853" t="s">
        <v>4165</v>
      </c>
      <c r="E605" s="1853" t="s">
        <v>2415</v>
      </c>
      <c r="F605" s="1853" t="s">
        <v>2509</v>
      </c>
      <c r="G605" s="1853" t="s">
        <v>4166</v>
      </c>
      <c r="H605" s="1853" t="s">
        <v>1</v>
      </c>
      <c r="I605" s="1853" t="s">
        <v>641</v>
      </c>
    </row>
    <row r="606" spans="1:9" ht="11.25" customHeight="1">
      <c r="A606" s="1853" t="s">
        <v>2101</v>
      </c>
      <c r="B606" s="1853" t="s">
        <v>0</v>
      </c>
      <c r="C606" s="1853" t="s">
        <v>4167</v>
      </c>
      <c r="D606" s="1853" t="s">
        <v>4168</v>
      </c>
      <c r="E606" s="1853" t="s">
        <v>2328</v>
      </c>
      <c r="F606" s="1853" t="s">
        <v>4169</v>
      </c>
      <c r="G606" s="1853" t="s">
        <v>1</v>
      </c>
      <c r="H606" s="1853" t="s">
        <v>1</v>
      </c>
      <c r="I606" s="1853" t="s">
        <v>641</v>
      </c>
    </row>
    <row r="607" spans="1:9" ht="11.25" customHeight="1">
      <c r="A607" s="1853" t="s">
        <v>2101</v>
      </c>
      <c r="B607" s="1853" t="s">
        <v>0</v>
      </c>
      <c r="C607" s="1853" t="s">
        <v>4170</v>
      </c>
      <c r="D607" s="1853" t="s">
        <v>4171</v>
      </c>
      <c r="E607" s="1853" t="s">
        <v>4172</v>
      </c>
      <c r="F607" s="1853" t="s">
        <v>4173</v>
      </c>
      <c r="G607" s="1853" t="s">
        <v>4174</v>
      </c>
      <c r="H607" s="1853" t="s">
        <v>1</v>
      </c>
      <c r="I607" s="1853" t="s">
        <v>641</v>
      </c>
    </row>
    <row r="608" spans="1:9" ht="11.25" customHeight="1">
      <c r="A608" s="1853" t="s">
        <v>2101</v>
      </c>
      <c r="B608" s="1853" t="s">
        <v>0</v>
      </c>
      <c r="C608" s="1853" t="s">
        <v>4175</v>
      </c>
      <c r="D608" s="1853" t="s">
        <v>4176</v>
      </c>
      <c r="E608" s="1853" t="s">
        <v>4177</v>
      </c>
      <c r="F608" s="1853" t="s">
        <v>4178</v>
      </c>
      <c r="G608" s="1853" t="s">
        <v>1</v>
      </c>
      <c r="H608" s="1853" t="s">
        <v>1</v>
      </c>
      <c r="I608" s="1853" t="s">
        <v>641</v>
      </c>
    </row>
    <row r="609" spans="1:9" ht="11.25" customHeight="1">
      <c r="A609" s="1853" t="s">
        <v>2101</v>
      </c>
      <c r="B609" s="1853" t="s">
        <v>0</v>
      </c>
      <c r="C609" s="1853" t="s">
        <v>4179</v>
      </c>
      <c r="D609" s="1853" t="s">
        <v>4180</v>
      </c>
      <c r="E609" s="1853" t="s">
        <v>2215</v>
      </c>
      <c r="F609" s="1853" t="s">
        <v>4181</v>
      </c>
      <c r="G609" s="1853" t="s">
        <v>1</v>
      </c>
      <c r="H609" s="1853" t="s">
        <v>1</v>
      </c>
      <c r="I609" s="1853" t="s">
        <v>641</v>
      </c>
    </row>
    <row r="610" spans="1:9" ht="11.25" customHeight="1">
      <c r="A610" s="1853" t="s">
        <v>2101</v>
      </c>
      <c r="B610" s="1853" t="s">
        <v>0</v>
      </c>
      <c r="C610" s="1853" t="s">
        <v>4182</v>
      </c>
      <c r="D610" s="1853" t="s">
        <v>4183</v>
      </c>
      <c r="E610" s="1853" t="s">
        <v>4184</v>
      </c>
      <c r="F610" s="1853" t="s">
        <v>4185</v>
      </c>
      <c r="G610" s="1853" t="s">
        <v>1</v>
      </c>
      <c r="H610" s="1853" t="s">
        <v>1</v>
      </c>
      <c r="I610" s="1853" t="s">
        <v>641</v>
      </c>
    </row>
    <row r="611" spans="1:9" ht="11.25" customHeight="1">
      <c r="A611" s="1853" t="s">
        <v>2101</v>
      </c>
      <c r="B611" s="1853" t="s">
        <v>0</v>
      </c>
      <c r="C611" s="1853" t="s">
        <v>2102</v>
      </c>
      <c r="D611" s="1853" t="s">
        <v>2103</v>
      </c>
      <c r="E611" s="1853" t="s">
        <v>2104</v>
      </c>
      <c r="F611" s="1853" t="s">
        <v>2105</v>
      </c>
      <c r="G611" s="1853" t="s">
        <v>2106</v>
      </c>
      <c r="H611" s="1853" t="s">
        <v>1</v>
      </c>
      <c r="I611" s="1853" t="s">
        <v>725</v>
      </c>
    </row>
    <row r="612" spans="1:9" ht="11.25" customHeight="1">
      <c r="A612" s="1853" t="s">
        <v>2101</v>
      </c>
      <c r="B612" s="1853" t="s">
        <v>0</v>
      </c>
      <c r="C612" s="1853" t="s">
        <v>2111</v>
      </c>
      <c r="D612" s="1853" t="s">
        <v>2112</v>
      </c>
      <c r="E612" s="1853" t="s">
        <v>2113</v>
      </c>
      <c r="F612" s="1853" t="s">
        <v>2114</v>
      </c>
      <c r="G612" s="1853" t="s">
        <v>2115</v>
      </c>
      <c r="H612" s="1853" t="s">
        <v>1</v>
      </c>
      <c r="I612" s="1853" t="s">
        <v>725</v>
      </c>
    </row>
    <row r="613" spans="1:9" ht="11.25" customHeight="1">
      <c r="A613" s="1853" t="s">
        <v>2101</v>
      </c>
      <c r="B613" s="1853" t="s">
        <v>0</v>
      </c>
      <c r="C613" s="1853" t="s">
        <v>2120</v>
      </c>
      <c r="D613" s="1853" t="s">
        <v>2121</v>
      </c>
      <c r="E613" s="1853" t="s">
        <v>2122</v>
      </c>
      <c r="F613" s="1853" t="s">
        <v>2123</v>
      </c>
      <c r="G613" s="1853" t="s">
        <v>1</v>
      </c>
      <c r="H613" s="1853" t="s">
        <v>1</v>
      </c>
      <c r="I613" s="1853" t="s">
        <v>725</v>
      </c>
    </row>
    <row r="614" spans="1:9" ht="11.25" customHeight="1">
      <c r="A614" s="1853" t="s">
        <v>2101</v>
      </c>
      <c r="B614" s="1853" t="s">
        <v>0</v>
      </c>
      <c r="C614" s="1853" t="s">
        <v>2146</v>
      </c>
      <c r="D614" s="1853" t="s">
        <v>2147</v>
      </c>
      <c r="E614" s="1853" t="s">
        <v>2148</v>
      </c>
      <c r="F614" s="1853" t="s">
        <v>2149</v>
      </c>
      <c r="G614" s="1853" t="s">
        <v>1</v>
      </c>
      <c r="H614" s="1853" t="s">
        <v>1</v>
      </c>
      <c r="I614" s="1853" t="s">
        <v>725</v>
      </c>
    </row>
    <row r="615" spans="1:9" ht="11.25" customHeight="1">
      <c r="A615" s="1853" t="s">
        <v>2101</v>
      </c>
      <c r="B615" s="1853" t="s">
        <v>0</v>
      </c>
      <c r="C615" s="1853" t="s">
        <v>2153</v>
      </c>
      <c r="D615" s="1853" t="s">
        <v>2154</v>
      </c>
      <c r="E615" s="1853" t="s">
        <v>2155</v>
      </c>
      <c r="F615" s="1853" t="s">
        <v>2119</v>
      </c>
      <c r="G615" s="1853" t="s">
        <v>1</v>
      </c>
      <c r="H615" s="1853" t="s">
        <v>1</v>
      </c>
      <c r="I615" s="1853" t="s">
        <v>725</v>
      </c>
    </row>
    <row r="616" spans="1:9" ht="11.25" customHeight="1">
      <c r="A616" s="1853" t="s">
        <v>2101</v>
      </c>
      <c r="B616" s="1853" t="s">
        <v>0</v>
      </c>
      <c r="C616" s="1853" t="s">
        <v>2156</v>
      </c>
      <c r="D616" s="1853" t="s">
        <v>2157</v>
      </c>
      <c r="E616" s="1853" t="s">
        <v>2158</v>
      </c>
      <c r="F616" s="1853" t="s">
        <v>2159</v>
      </c>
      <c r="G616" s="1853" t="s">
        <v>2160</v>
      </c>
      <c r="H616" s="1853" t="s">
        <v>1</v>
      </c>
      <c r="I616" s="1853" t="s">
        <v>725</v>
      </c>
    </row>
    <row r="617" spans="1:9" ht="11.25" customHeight="1">
      <c r="A617" s="1853" t="s">
        <v>2101</v>
      </c>
      <c r="B617" s="1853" t="s">
        <v>0</v>
      </c>
      <c r="C617" s="1853" t="s">
        <v>2167</v>
      </c>
      <c r="D617" s="1853" t="s">
        <v>2168</v>
      </c>
      <c r="E617" s="1853" t="s">
        <v>2169</v>
      </c>
      <c r="F617" s="1853" t="s">
        <v>2149</v>
      </c>
      <c r="G617" s="1853" t="s">
        <v>1</v>
      </c>
      <c r="H617" s="1853" t="s">
        <v>1</v>
      </c>
      <c r="I617" s="1853" t="s">
        <v>725</v>
      </c>
    </row>
    <row r="618" spans="1:9" ht="11.25" customHeight="1">
      <c r="A618" s="1853" t="s">
        <v>2101</v>
      </c>
      <c r="B618" s="1853" t="s">
        <v>0</v>
      </c>
      <c r="C618" s="1853" t="s">
        <v>2213</v>
      </c>
      <c r="D618" s="1853" t="s">
        <v>2214</v>
      </c>
      <c r="E618" s="1853" t="s">
        <v>2215</v>
      </c>
      <c r="F618" s="1853" t="s">
        <v>2141</v>
      </c>
      <c r="G618" s="1853" t="s">
        <v>1</v>
      </c>
      <c r="H618" s="1853" t="s">
        <v>1</v>
      </c>
      <c r="I618" s="1853" t="s">
        <v>725</v>
      </c>
    </row>
    <row r="619" spans="1:9" ht="11.25" customHeight="1">
      <c r="A619" s="1853" t="s">
        <v>2101</v>
      </c>
      <c r="B619" s="1853" t="s">
        <v>0</v>
      </c>
      <c r="C619" s="1853" t="s">
        <v>2219</v>
      </c>
      <c r="D619" s="1853" t="s">
        <v>2220</v>
      </c>
      <c r="E619" s="1853" t="s">
        <v>2221</v>
      </c>
      <c r="F619" s="1853" t="s">
        <v>2222</v>
      </c>
      <c r="G619" s="1853" t="s">
        <v>1</v>
      </c>
      <c r="H619" s="1853" t="s">
        <v>1</v>
      </c>
      <c r="I619" s="1853" t="s">
        <v>725</v>
      </c>
    </row>
    <row r="620" spans="1:9" ht="11.25" customHeight="1">
      <c r="A620" s="1853" t="s">
        <v>2101</v>
      </c>
      <c r="B620" s="1853" t="s">
        <v>0</v>
      </c>
      <c r="C620" s="1853" t="s">
        <v>2227</v>
      </c>
      <c r="D620" s="1853" t="s">
        <v>2228</v>
      </c>
      <c r="E620" s="1853" t="s">
        <v>2229</v>
      </c>
      <c r="F620" s="1853" t="s">
        <v>2230</v>
      </c>
      <c r="G620" s="1853" t="s">
        <v>2231</v>
      </c>
      <c r="H620" s="1853" t="s">
        <v>1</v>
      </c>
      <c r="I620" s="1853" t="s">
        <v>725</v>
      </c>
    </row>
    <row r="621" spans="1:9" ht="11.25" customHeight="1">
      <c r="A621" s="1853" t="s">
        <v>2101</v>
      </c>
      <c r="B621" s="1853" t="s">
        <v>0</v>
      </c>
      <c r="C621" s="1853" t="s">
        <v>2232</v>
      </c>
      <c r="D621" s="1853" t="s">
        <v>2233</v>
      </c>
      <c r="E621" s="1853" t="s">
        <v>2118</v>
      </c>
      <c r="F621" s="1853" t="s">
        <v>2234</v>
      </c>
      <c r="G621" s="1853" t="s">
        <v>2235</v>
      </c>
      <c r="H621" s="1853" t="s">
        <v>1</v>
      </c>
      <c r="I621" s="1853" t="s">
        <v>725</v>
      </c>
    </row>
    <row r="622" spans="1:9" ht="11.25" customHeight="1">
      <c r="A622" s="1853" t="s">
        <v>2101</v>
      </c>
      <c r="B622" s="1853" t="s">
        <v>0</v>
      </c>
      <c r="C622" s="1853" t="s">
        <v>2241</v>
      </c>
      <c r="D622" s="1853" t="s">
        <v>2242</v>
      </c>
      <c r="E622" s="1853" t="s">
        <v>2243</v>
      </c>
      <c r="F622" s="1853" t="s">
        <v>2239</v>
      </c>
      <c r="G622" s="1853" t="s">
        <v>2244</v>
      </c>
      <c r="H622" s="1853" t="s">
        <v>1</v>
      </c>
      <c r="I622" s="1853" t="s">
        <v>725</v>
      </c>
    </row>
    <row r="623" spans="1:9" ht="11.25" customHeight="1">
      <c r="A623" s="1853" t="s">
        <v>2101</v>
      </c>
      <c r="B623" s="1853" t="s">
        <v>0</v>
      </c>
      <c r="C623" s="1853" t="s">
        <v>2249</v>
      </c>
      <c r="D623" s="1853" t="s">
        <v>2250</v>
      </c>
      <c r="E623" s="1853" t="s">
        <v>2247</v>
      </c>
      <c r="F623" s="1853" t="s">
        <v>2211</v>
      </c>
      <c r="G623" s="1853" t="s">
        <v>2251</v>
      </c>
      <c r="H623" s="1853" t="s">
        <v>1</v>
      </c>
      <c r="I623" s="1853" t="s">
        <v>725</v>
      </c>
    </row>
    <row r="624" spans="1:9" ht="11.25" customHeight="1">
      <c r="A624" s="1853" t="s">
        <v>2101</v>
      </c>
      <c r="B624" s="1853" t="s">
        <v>0</v>
      </c>
      <c r="C624" s="1853" t="s">
        <v>2269</v>
      </c>
      <c r="D624" s="1853" t="s">
        <v>2270</v>
      </c>
      <c r="E624" s="1853" t="s">
        <v>2271</v>
      </c>
      <c r="F624" s="1853" t="s">
        <v>2222</v>
      </c>
      <c r="G624" s="1853" t="s">
        <v>2272</v>
      </c>
      <c r="H624" s="1853" t="s">
        <v>1</v>
      </c>
      <c r="I624" s="1853" t="s">
        <v>725</v>
      </c>
    </row>
    <row r="625" spans="1:9" ht="11.25" customHeight="1">
      <c r="A625" s="1853" t="s">
        <v>2101</v>
      </c>
      <c r="B625" s="1853" t="s">
        <v>0</v>
      </c>
      <c r="C625" s="1853" t="s">
        <v>2273</v>
      </c>
      <c r="D625" s="1853" t="s">
        <v>2274</v>
      </c>
      <c r="E625" s="1853" t="s">
        <v>2271</v>
      </c>
      <c r="F625" s="1853" t="s">
        <v>2275</v>
      </c>
      <c r="G625" s="1853" t="s">
        <v>1</v>
      </c>
      <c r="H625" s="1853" t="s">
        <v>1</v>
      </c>
      <c r="I625" s="1853" t="s">
        <v>725</v>
      </c>
    </row>
    <row r="626" spans="1:9" ht="11.25" customHeight="1">
      <c r="A626" s="1853" t="s">
        <v>2101</v>
      </c>
      <c r="B626" s="1853" t="s">
        <v>0</v>
      </c>
      <c r="C626" s="1853" t="s">
        <v>2276</v>
      </c>
      <c r="D626" s="1853" t="s">
        <v>2277</v>
      </c>
      <c r="E626" s="1853" t="s">
        <v>2271</v>
      </c>
      <c r="F626" s="1853" t="s">
        <v>2278</v>
      </c>
      <c r="G626" s="1853" t="s">
        <v>1</v>
      </c>
      <c r="H626" s="1853" t="s">
        <v>1</v>
      </c>
      <c r="I626" s="1853" t="s">
        <v>725</v>
      </c>
    </row>
    <row r="627" spans="1:9" ht="11.25" customHeight="1">
      <c r="A627" s="1853" t="s">
        <v>2101</v>
      </c>
      <c r="B627" s="1853" t="s">
        <v>0</v>
      </c>
      <c r="C627" s="1853" t="s">
        <v>2282</v>
      </c>
      <c r="D627" s="1853" t="s">
        <v>2283</v>
      </c>
      <c r="E627" s="1853" t="s">
        <v>2271</v>
      </c>
      <c r="F627" s="1853" t="s">
        <v>2284</v>
      </c>
      <c r="G627" s="1853" t="s">
        <v>1</v>
      </c>
      <c r="H627" s="1853" t="s">
        <v>1</v>
      </c>
      <c r="I627" s="1853" t="s">
        <v>725</v>
      </c>
    </row>
    <row r="628" spans="1:9" ht="11.25" customHeight="1">
      <c r="A628" s="1853" t="s">
        <v>2101</v>
      </c>
      <c r="B628" s="1853" t="s">
        <v>0</v>
      </c>
      <c r="C628" s="1853" t="s">
        <v>2291</v>
      </c>
      <c r="D628" s="1853" t="s">
        <v>2292</v>
      </c>
      <c r="E628" s="1853" t="s">
        <v>2271</v>
      </c>
      <c r="F628" s="1853" t="s">
        <v>2293</v>
      </c>
      <c r="G628" s="1853" t="s">
        <v>1</v>
      </c>
      <c r="H628" s="1853" t="s">
        <v>1</v>
      </c>
      <c r="I628" s="1853" t="s">
        <v>725</v>
      </c>
    </row>
    <row r="629" spans="1:9" ht="11.25" customHeight="1">
      <c r="A629" s="1853" t="s">
        <v>2101</v>
      </c>
      <c r="B629" s="1853" t="s">
        <v>0</v>
      </c>
      <c r="C629" s="1853" t="s">
        <v>2297</v>
      </c>
      <c r="D629" s="1853" t="s">
        <v>2298</v>
      </c>
      <c r="E629" s="1853" t="s">
        <v>2271</v>
      </c>
      <c r="F629" s="1853" t="s">
        <v>2299</v>
      </c>
      <c r="G629" s="1853" t="s">
        <v>1</v>
      </c>
      <c r="H629" s="1853" t="s">
        <v>1</v>
      </c>
      <c r="I629" s="1853" t="s">
        <v>725</v>
      </c>
    </row>
    <row r="630" spans="1:9" ht="11.25" customHeight="1">
      <c r="A630" s="1853" t="s">
        <v>2101</v>
      </c>
      <c r="B630" s="1853" t="s">
        <v>0</v>
      </c>
      <c r="C630" s="1853" t="s">
        <v>2309</v>
      </c>
      <c r="D630" s="1853" t="s">
        <v>2310</v>
      </c>
      <c r="E630" s="1853" t="s">
        <v>2271</v>
      </c>
      <c r="F630" s="1853" t="s">
        <v>2311</v>
      </c>
      <c r="G630" s="1853" t="s">
        <v>1</v>
      </c>
      <c r="H630" s="1853" t="s">
        <v>1</v>
      </c>
      <c r="I630" s="1853" t="s">
        <v>725</v>
      </c>
    </row>
    <row r="631" spans="1:9" ht="11.25" customHeight="1">
      <c r="A631" s="1853" t="s">
        <v>2101</v>
      </c>
      <c r="B631" s="1853" t="s">
        <v>0</v>
      </c>
      <c r="C631" s="1853" t="s">
        <v>2316</v>
      </c>
      <c r="D631" s="1853" t="s">
        <v>2317</v>
      </c>
      <c r="E631" s="1853" t="s">
        <v>2318</v>
      </c>
      <c r="F631" s="1853" t="s">
        <v>2105</v>
      </c>
      <c r="G631" s="1853" t="s">
        <v>2183</v>
      </c>
      <c r="H631" s="1853" t="s">
        <v>1</v>
      </c>
      <c r="I631" s="1853" t="s">
        <v>725</v>
      </c>
    </row>
    <row r="632" spans="1:9" ht="11.25" customHeight="1">
      <c r="A632" s="1853" t="s">
        <v>2101</v>
      </c>
      <c r="B632" s="1853" t="s">
        <v>0</v>
      </c>
      <c r="C632" s="1853" t="s">
        <v>2319</v>
      </c>
      <c r="D632" s="1853" t="s">
        <v>2320</v>
      </c>
      <c r="E632" s="1853" t="s">
        <v>2321</v>
      </c>
      <c r="F632" s="1853" t="s">
        <v>2105</v>
      </c>
      <c r="G632" s="1853" t="s">
        <v>1</v>
      </c>
      <c r="H632" s="1853" t="s">
        <v>1</v>
      </c>
      <c r="I632" s="1853" t="s">
        <v>725</v>
      </c>
    </row>
    <row r="633" spans="1:9" ht="11.25" customHeight="1">
      <c r="A633" s="1853" t="s">
        <v>2101</v>
      </c>
      <c r="B633" s="1853" t="s">
        <v>0</v>
      </c>
      <c r="C633" s="1853" t="s">
        <v>2322</v>
      </c>
      <c r="D633" s="1853" t="s">
        <v>2323</v>
      </c>
      <c r="E633" s="1853" t="s">
        <v>2324</v>
      </c>
      <c r="F633" s="1853" t="s">
        <v>2159</v>
      </c>
      <c r="G633" s="1853" t="s">
        <v>2325</v>
      </c>
      <c r="H633" s="1853" t="s">
        <v>1</v>
      </c>
      <c r="I633" s="1853" t="s">
        <v>725</v>
      </c>
    </row>
    <row r="634" spans="1:9" ht="11.25" customHeight="1">
      <c r="A634" s="1853" t="s">
        <v>2101</v>
      </c>
      <c r="B634" s="1853" t="s">
        <v>0</v>
      </c>
      <c r="C634" s="1853" t="s">
        <v>2326</v>
      </c>
      <c r="D634" s="1853" t="s">
        <v>2327</v>
      </c>
      <c r="E634" s="1853" t="s">
        <v>2328</v>
      </c>
      <c r="F634" s="1853" t="s">
        <v>2329</v>
      </c>
      <c r="G634" s="1853" t="s">
        <v>1</v>
      </c>
      <c r="H634" s="1853" t="s">
        <v>1</v>
      </c>
      <c r="I634" s="1853" t="s">
        <v>725</v>
      </c>
    </row>
    <row r="635" spans="1:9" ht="11.25" customHeight="1">
      <c r="A635" s="1853" t="s">
        <v>2101</v>
      </c>
      <c r="B635" s="1853" t="s">
        <v>0</v>
      </c>
      <c r="C635" s="1853" t="s">
        <v>2335</v>
      </c>
      <c r="D635" s="1853" t="s">
        <v>2336</v>
      </c>
      <c r="E635" s="1853" t="s">
        <v>2328</v>
      </c>
      <c r="F635" s="1853" t="s">
        <v>2337</v>
      </c>
      <c r="G635" s="1853" t="s">
        <v>1</v>
      </c>
      <c r="H635" s="1853" t="s">
        <v>1</v>
      </c>
      <c r="I635" s="1853" t="s">
        <v>725</v>
      </c>
    </row>
    <row r="636" spans="1:9" ht="11.25" customHeight="1">
      <c r="A636" s="1853" t="s">
        <v>2101</v>
      </c>
      <c r="B636" s="1853" t="s">
        <v>0</v>
      </c>
      <c r="C636" s="1853" t="s">
        <v>2341</v>
      </c>
      <c r="D636" s="1853" t="s">
        <v>2342</v>
      </c>
      <c r="E636" s="1853" t="s">
        <v>2328</v>
      </c>
      <c r="F636" s="1853" t="s">
        <v>2343</v>
      </c>
      <c r="G636" s="1853" t="s">
        <v>1</v>
      </c>
      <c r="H636" s="1853" t="s">
        <v>1</v>
      </c>
      <c r="I636" s="1853" t="s">
        <v>725</v>
      </c>
    </row>
    <row r="637" spans="1:9" ht="11.25" customHeight="1">
      <c r="A637" s="1853" t="s">
        <v>2101</v>
      </c>
      <c r="B637" s="1853" t="s">
        <v>0</v>
      </c>
      <c r="C637" s="1853" t="s">
        <v>2347</v>
      </c>
      <c r="D637" s="1853" t="s">
        <v>2348</v>
      </c>
      <c r="E637" s="1853" t="s">
        <v>2328</v>
      </c>
      <c r="F637" s="1853" t="s">
        <v>2349</v>
      </c>
      <c r="G637" s="1853" t="s">
        <v>1</v>
      </c>
      <c r="H637" s="1853" t="s">
        <v>1</v>
      </c>
      <c r="I637" s="1853" t="s">
        <v>725</v>
      </c>
    </row>
    <row r="638" spans="1:9" ht="11.25" customHeight="1">
      <c r="A638" s="1853" t="s">
        <v>2101</v>
      </c>
      <c r="B638" s="1853" t="s">
        <v>0</v>
      </c>
      <c r="C638" s="1853" t="s">
        <v>2353</v>
      </c>
      <c r="D638" s="1853" t="s">
        <v>2354</v>
      </c>
      <c r="E638" s="1853" t="s">
        <v>2328</v>
      </c>
      <c r="F638" s="1853" t="s">
        <v>2355</v>
      </c>
      <c r="G638" s="1853" t="s">
        <v>1</v>
      </c>
      <c r="H638" s="1853" t="s">
        <v>1</v>
      </c>
      <c r="I638" s="1853" t="s">
        <v>725</v>
      </c>
    </row>
    <row r="639" spans="1:9" ht="11.25" customHeight="1">
      <c r="A639" s="1853" t="s">
        <v>2101</v>
      </c>
      <c r="B639" s="1853" t="s">
        <v>0</v>
      </c>
      <c r="C639" s="1853" t="s">
        <v>2356</v>
      </c>
      <c r="D639" s="1853" t="s">
        <v>2357</v>
      </c>
      <c r="E639" s="1853" t="s">
        <v>2328</v>
      </c>
      <c r="F639" s="1853" t="s">
        <v>2358</v>
      </c>
      <c r="G639" s="1853" t="s">
        <v>1</v>
      </c>
      <c r="H639" s="1853" t="s">
        <v>1</v>
      </c>
      <c r="I639" s="1853" t="s">
        <v>725</v>
      </c>
    </row>
    <row r="640" spans="1:9" ht="11.25" customHeight="1">
      <c r="A640" s="1853" t="s">
        <v>2101</v>
      </c>
      <c r="B640" s="1853" t="s">
        <v>0</v>
      </c>
      <c r="C640" s="1853" t="s">
        <v>2359</v>
      </c>
      <c r="D640" s="1853" t="s">
        <v>2360</v>
      </c>
      <c r="E640" s="1853" t="s">
        <v>2328</v>
      </c>
      <c r="F640" s="1853" t="s">
        <v>2361</v>
      </c>
      <c r="G640" s="1853" t="s">
        <v>1</v>
      </c>
      <c r="H640" s="1853" t="s">
        <v>1</v>
      </c>
      <c r="I640" s="1853" t="s">
        <v>725</v>
      </c>
    </row>
    <row r="641" spans="1:9" ht="11.25" customHeight="1">
      <c r="A641" s="1853" t="s">
        <v>2101</v>
      </c>
      <c r="B641" s="1853" t="s">
        <v>0</v>
      </c>
      <c r="C641" s="1853" t="s">
        <v>2362</v>
      </c>
      <c r="D641" s="1853" t="s">
        <v>2363</v>
      </c>
      <c r="E641" s="1853" t="s">
        <v>2328</v>
      </c>
      <c r="F641" s="1853" t="s">
        <v>2364</v>
      </c>
      <c r="G641" s="1853" t="s">
        <v>1</v>
      </c>
      <c r="H641" s="1853" t="s">
        <v>1</v>
      </c>
      <c r="I641" s="1853" t="s">
        <v>725</v>
      </c>
    </row>
    <row r="642" spans="1:9" ht="11.25" customHeight="1">
      <c r="A642" s="1853" t="s">
        <v>2101</v>
      </c>
      <c r="B642" s="1853" t="s">
        <v>0</v>
      </c>
      <c r="C642" s="1853" t="s">
        <v>2365</v>
      </c>
      <c r="D642" s="1853" t="s">
        <v>2366</v>
      </c>
      <c r="E642" s="1853" t="s">
        <v>2328</v>
      </c>
      <c r="F642" s="1853" t="s">
        <v>2367</v>
      </c>
      <c r="G642" s="1853" t="s">
        <v>1</v>
      </c>
      <c r="H642" s="1853" t="s">
        <v>1</v>
      </c>
      <c r="I642" s="1853" t="s">
        <v>725</v>
      </c>
    </row>
    <row r="643" spans="1:9" ht="11.25" customHeight="1">
      <c r="A643" s="1853" t="s">
        <v>2101</v>
      </c>
      <c r="B643" s="1853" t="s">
        <v>0</v>
      </c>
      <c r="C643" s="1853" t="s">
        <v>2368</v>
      </c>
      <c r="D643" s="1853" t="s">
        <v>2369</v>
      </c>
      <c r="E643" s="1853" t="s">
        <v>2328</v>
      </c>
      <c r="F643" s="1853" t="s">
        <v>2370</v>
      </c>
      <c r="G643" s="1853" t="s">
        <v>1</v>
      </c>
      <c r="H643" s="1853" t="s">
        <v>1</v>
      </c>
      <c r="I643" s="1853" t="s">
        <v>725</v>
      </c>
    </row>
    <row r="644" spans="1:9" ht="11.25" customHeight="1">
      <c r="A644" s="1853" t="s">
        <v>2101</v>
      </c>
      <c r="B644" s="1853" t="s">
        <v>0</v>
      </c>
      <c r="C644" s="1853" t="s">
        <v>2371</v>
      </c>
      <c r="D644" s="1853" t="s">
        <v>2372</v>
      </c>
      <c r="E644" s="1853" t="s">
        <v>2328</v>
      </c>
      <c r="F644" s="1853" t="s">
        <v>2373</v>
      </c>
      <c r="G644" s="1853" t="s">
        <v>1</v>
      </c>
      <c r="H644" s="1853" t="s">
        <v>1</v>
      </c>
      <c r="I644" s="1853" t="s">
        <v>725</v>
      </c>
    </row>
    <row r="645" spans="1:9" ht="11.25" customHeight="1">
      <c r="A645" s="1853" t="s">
        <v>2101</v>
      </c>
      <c r="B645" s="1853" t="s">
        <v>0</v>
      </c>
      <c r="C645" s="1853" t="s">
        <v>2374</v>
      </c>
      <c r="D645" s="1853" t="s">
        <v>2375</v>
      </c>
      <c r="E645" s="1853" t="s">
        <v>2328</v>
      </c>
      <c r="F645" s="1853" t="s">
        <v>2376</v>
      </c>
      <c r="G645" s="1853" t="s">
        <v>1</v>
      </c>
      <c r="H645" s="1853" t="s">
        <v>1</v>
      </c>
      <c r="I645" s="1853" t="s">
        <v>725</v>
      </c>
    </row>
    <row r="646" spans="1:9" ht="11.25" customHeight="1">
      <c r="A646" s="1853" t="s">
        <v>2101</v>
      </c>
      <c r="B646" s="1853" t="s">
        <v>0</v>
      </c>
      <c r="C646" s="1853" t="s">
        <v>2377</v>
      </c>
      <c r="D646" s="1853" t="s">
        <v>2378</v>
      </c>
      <c r="E646" s="1853" t="s">
        <v>2155</v>
      </c>
      <c r="F646" s="1853" t="s">
        <v>2379</v>
      </c>
      <c r="G646" s="1853" t="s">
        <v>1</v>
      </c>
      <c r="H646" s="1853" t="s">
        <v>1</v>
      </c>
      <c r="I646" s="1853" t="s">
        <v>725</v>
      </c>
    </row>
    <row r="647" spans="1:9" ht="11.25" customHeight="1">
      <c r="A647" s="1853" t="s">
        <v>2101</v>
      </c>
      <c r="B647" s="1853" t="s">
        <v>0</v>
      </c>
      <c r="C647" s="1853" t="s">
        <v>2380</v>
      </c>
      <c r="D647" s="1853" t="s">
        <v>2381</v>
      </c>
      <c r="E647" s="1853" t="s">
        <v>2382</v>
      </c>
      <c r="F647" s="1853" t="s">
        <v>2383</v>
      </c>
      <c r="G647" s="1853" t="s">
        <v>1</v>
      </c>
      <c r="H647" s="1853" t="s">
        <v>1</v>
      </c>
      <c r="I647" s="1853" t="s">
        <v>725</v>
      </c>
    </row>
    <row r="648" spans="1:9" ht="11.25" customHeight="1">
      <c r="A648" s="1853" t="s">
        <v>2101</v>
      </c>
      <c r="B648" s="1853" t="s">
        <v>0</v>
      </c>
      <c r="C648" s="1853" t="s">
        <v>2384</v>
      </c>
      <c r="D648" s="1853" t="s">
        <v>2385</v>
      </c>
      <c r="E648" s="1853" t="s">
        <v>2386</v>
      </c>
      <c r="F648" s="1853" t="s">
        <v>2387</v>
      </c>
      <c r="G648" s="1853" t="s">
        <v>1</v>
      </c>
      <c r="H648" s="1853" t="s">
        <v>1</v>
      </c>
      <c r="I648" s="1853" t="s">
        <v>725</v>
      </c>
    </row>
    <row r="649" spans="1:9" ht="11.25" customHeight="1">
      <c r="A649" s="1853" t="s">
        <v>2101</v>
      </c>
      <c r="B649" s="1853" t="s">
        <v>0</v>
      </c>
      <c r="C649" s="1853" t="s">
        <v>2388</v>
      </c>
      <c r="D649" s="1853" t="s">
        <v>2389</v>
      </c>
      <c r="E649" s="1853" t="s">
        <v>2390</v>
      </c>
      <c r="F649" s="1853" t="s">
        <v>2149</v>
      </c>
      <c r="G649" s="1853" t="s">
        <v>1</v>
      </c>
      <c r="H649" s="1853" t="s">
        <v>1</v>
      </c>
      <c r="I649" s="1853" t="s">
        <v>725</v>
      </c>
    </row>
    <row r="650" spans="1:9" ht="11.25" customHeight="1">
      <c r="A650" s="1853" t="s">
        <v>2101</v>
      </c>
      <c r="B650" s="1853" t="s">
        <v>0</v>
      </c>
      <c r="C650" s="1853" t="s">
        <v>2394</v>
      </c>
      <c r="D650" s="1853" t="s">
        <v>2395</v>
      </c>
      <c r="E650" s="1853" t="s">
        <v>2396</v>
      </c>
      <c r="F650" s="1853" t="s">
        <v>2222</v>
      </c>
      <c r="G650" s="1853" t="s">
        <v>1</v>
      </c>
      <c r="H650" s="1853" t="s">
        <v>1</v>
      </c>
      <c r="I650" s="1853" t="s">
        <v>725</v>
      </c>
    </row>
    <row r="651" spans="1:9" ht="11.25" customHeight="1">
      <c r="A651" s="1853" t="s">
        <v>2101</v>
      </c>
      <c r="B651" s="1853" t="s">
        <v>0</v>
      </c>
      <c r="C651" s="1853" t="s">
        <v>2397</v>
      </c>
      <c r="D651" s="1853" t="s">
        <v>2398</v>
      </c>
      <c r="E651" s="1853" t="s">
        <v>2399</v>
      </c>
      <c r="F651" s="1853" t="s">
        <v>2230</v>
      </c>
      <c r="G651" s="1853" t="s">
        <v>1</v>
      </c>
      <c r="H651" s="1853" t="s">
        <v>1</v>
      </c>
      <c r="I651" s="1853" t="s">
        <v>725</v>
      </c>
    </row>
    <row r="652" spans="1:9" ht="11.25" customHeight="1">
      <c r="A652" s="1853" t="s">
        <v>2101</v>
      </c>
      <c r="B652" s="1853" t="s">
        <v>0</v>
      </c>
      <c r="C652" s="1853" t="s">
        <v>2403</v>
      </c>
      <c r="D652" s="1853" t="s">
        <v>2404</v>
      </c>
      <c r="E652" s="1853" t="s">
        <v>2405</v>
      </c>
      <c r="F652" s="1853" t="s">
        <v>2230</v>
      </c>
      <c r="G652" s="1853" t="s">
        <v>2406</v>
      </c>
      <c r="H652" s="1853" t="s">
        <v>1</v>
      </c>
      <c r="I652" s="1853" t="s">
        <v>725</v>
      </c>
    </row>
    <row r="653" spans="1:9" ht="11.25" customHeight="1">
      <c r="A653" s="1853" t="s">
        <v>2101</v>
      </c>
      <c r="B653" s="1853" t="s">
        <v>0</v>
      </c>
      <c r="C653" s="1853" t="s">
        <v>2417</v>
      </c>
      <c r="D653" s="1853" t="s">
        <v>2418</v>
      </c>
      <c r="E653" s="1853" t="s">
        <v>2419</v>
      </c>
      <c r="F653" s="1853" t="s">
        <v>2416</v>
      </c>
      <c r="G653" s="1853" t="s">
        <v>2420</v>
      </c>
      <c r="H653" s="1853" t="s">
        <v>1</v>
      </c>
      <c r="I653" s="1853" t="s">
        <v>725</v>
      </c>
    </row>
    <row r="654" spans="1:9" ht="11.25" customHeight="1">
      <c r="A654" s="1853" t="s">
        <v>2101</v>
      </c>
      <c r="B654" s="1853" t="s">
        <v>0</v>
      </c>
      <c r="C654" s="1853" t="s">
        <v>2426</v>
      </c>
      <c r="D654" s="1853" t="s">
        <v>2427</v>
      </c>
      <c r="E654" s="1853" t="s">
        <v>2428</v>
      </c>
      <c r="F654" s="1853" t="s">
        <v>2230</v>
      </c>
      <c r="G654" s="1853" t="s">
        <v>2429</v>
      </c>
      <c r="H654" s="1853" t="s">
        <v>1</v>
      </c>
      <c r="I654" s="1853" t="s">
        <v>725</v>
      </c>
    </row>
    <row r="655" spans="1:9" ht="11.25" customHeight="1">
      <c r="A655" s="1853" t="s">
        <v>2101</v>
      </c>
      <c r="B655" s="1853" t="s">
        <v>0</v>
      </c>
      <c r="C655" s="1853" t="s">
        <v>2430</v>
      </c>
      <c r="D655" s="1853" t="s">
        <v>2431</v>
      </c>
      <c r="E655" s="1853" t="s">
        <v>2432</v>
      </c>
      <c r="F655" s="1853" t="s">
        <v>2178</v>
      </c>
      <c r="G655" s="1853" t="s">
        <v>2433</v>
      </c>
      <c r="H655" s="1853" t="s">
        <v>1</v>
      </c>
      <c r="I655" s="1853" t="s">
        <v>725</v>
      </c>
    </row>
    <row r="656" spans="1:9" ht="11.25" customHeight="1">
      <c r="A656" s="1853" t="s">
        <v>2101</v>
      </c>
      <c r="B656" s="1853" t="s">
        <v>0</v>
      </c>
      <c r="C656" s="1853" t="s">
        <v>2437</v>
      </c>
      <c r="D656" s="1853" t="s">
        <v>2438</v>
      </c>
      <c r="E656" s="1853" t="s">
        <v>2439</v>
      </c>
      <c r="F656" s="1853" t="s">
        <v>2178</v>
      </c>
      <c r="G656" s="1853" t="s">
        <v>1</v>
      </c>
      <c r="H656" s="1853" t="s">
        <v>1</v>
      </c>
      <c r="I656" s="1853" t="s">
        <v>725</v>
      </c>
    </row>
    <row r="657" spans="1:9" ht="11.25" customHeight="1">
      <c r="A657" s="1853" t="s">
        <v>2101</v>
      </c>
      <c r="B657" s="1853" t="s">
        <v>0</v>
      </c>
      <c r="C657" s="1853" t="s">
        <v>2440</v>
      </c>
      <c r="D657" s="1853" t="s">
        <v>2441</v>
      </c>
      <c r="E657" s="1853" t="s">
        <v>2442</v>
      </c>
      <c r="F657" s="1853" t="s">
        <v>2149</v>
      </c>
      <c r="G657" s="1853" t="s">
        <v>1</v>
      </c>
      <c r="H657" s="1853" t="s">
        <v>1</v>
      </c>
      <c r="I657" s="1853" t="s">
        <v>725</v>
      </c>
    </row>
    <row r="658" spans="1:9" ht="11.25" customHeight="1">
      <c r="A658" s="1853" t="s">
        <v>2101</v>
      </c>
      <c r="B658" s="1853" t="s">
        <v>0</v>
      </c>
      <c r="C658" s="1853" t="s">
        <v>2450</v>
      </c>
      <c r="D658" s="1853" t="s">
        <v>8</v>
      </c>
      <c r="E658" s="1853" t="s">
        <v>10</v>
      </c>
      <c r="F658" s="1853" t="s">
        <v>12</v>
      </c>
      <c r="G658" s="1853" t="s">
        <v>1</v>
      </c>
      <c r="H658" s="1853" t="s">
        <v>1</v>
      </c>
      <c r="I658" s="1853" t="s">
        <v>725</v>
      </c>
    </row>
    <row r="659" spans="1:9" ht="11.25" customHeight="1">
      <c r="A659" s="1853" t="s">
        <v>2101</v>
      </c>
      <c r="B659" s="1853" t="s">
        <v>0</v>
      </c>
      <c r="C659" s="1853" t="s">
        <v>2460</v>
      </c>
      <c r="D659" s="1853" t="s">
        <v>2461</v>
      </c>
      <c r="E659" s="1853" t="s">
        <v>2462</v>
      </c>
      <c r="F659" s="1853" t="s">
        <v>12</v>
      </c>
      <c r="G659" s="1853" t="s">
        <v>1</v>
      </c>
      <c r="H659" s="1853" t="s">
        <v>1</v>
      </c>
      <c r="I659" s="1853" t="s">
        <v>725</v>
      </c>
    </row>
    <row r="660" spans="1:9" ht="11.25" customHeight="1">
      <c r="A660" s="1853" t="s">
        <v>2101</v>
      </c>
      <c r="B660" s="1853" t="s">
        <v>0</v>
      </c>
      <c r="C660" s="1853" t="s">
        <v>2463</v>
      </c>
      <c r="D660" s="1853" t="s">
        <v>2464</v>
      </c>
      <c r="E660" s="1853" t="s">
        <v>2465</v>
      </c>
      <c r="F660" s="1853" t="s">
        <v>2466</v>
      </c>
      <c r="G660" s="1853" t="s">
        <v>2467</v>
      </c>
      <c r="H660" s="1853" t="s">
        <v>1</v>
      </c>
      <c r="I660" s="1853" t="s">
        <v>725</v>
      </c>
    </row>
    <row r="661" spans="1:9" ht="11.25" customHeight="1">
      <c r="A661" s="1853" t="s">
        <v>2101</v>
      </c>
      <c r="B661" s="1853" t="s">
        <v>0</v>
      </c>
      <c r="C661" s="1853" t="s">
        <v>2468</v>
      </c>
      <c r="D661" s="1853" t="s">
        <v>2469</v>
      </c>
      <c r="E661" s="1853" t="s">
        <v>2470</v>
      </c>
      <c r="F661" s="1853" t="s">
        <v>12</v>
      </c>
      <c r="G661" s="1853" t="s">
        <v>1</v>
      </c>
      <c r="H661" s="1853" t="s">
        <v>1</v>
      </c>
      <c r="I661" s="1853" t="s">
        <v>725</v>
      </c>
    </row>
    <row r="662" spans="1:9" ht="11.25" customHeight="1">
      <c r="A662" s="1853" t="s">
        <v>2101</v>
      </c>
      <c r="B662" s="1853" t="s">
        <v>0</v>
      </c>
      <c r="C662" s="1853" t="s">
        <v>2475</v>
      </c>
      <c r="D662" s="1853" t="s">
        <v>2476</v>
      </c>
      <c r="E662" s="1853" t="s">
        <v>2473</v>
      </c>
      <c r="F662" s="1853" t="s">
        <v>2178</v>
      </c>
      <c r="G662" s="1853" t="s">
        <v>2325</v>
      </c>
      <c r="H662" s="1853" t="s">
        <v>1</v>
      </c>
      <c r="I662" s="1853" t="s">
        <v>725</v>
      </c>
    </row>
    <row r="663" spans="1:9" ht="11.25" customHeight="1">
      <c r="A663" s="1853" t="s">
        <v>2101</v>
      </c>
      <c r="B663" s="1853" t="s">
        <v>0</v>
      </c>
      <c r="C663" s="1853" t="s">
        <v>2481</v>
      </c>
      <c r="D663" s="1853" t="s">
        <v>2482</v>
      </c>
      <c r="E663" s="1853" t="s">
        <v>2483</v>
      </c>
      <c r="F663" s="1853" t="s">
        <v>2141</v>
      </c>
      <c r="G663" s="1853" t="s">
        <v>2484</v>
      </c>
      <c r="H663" s="1853" t="s">
        <v>1</v>
      </c>
      <c r="I663" s="1853" t="s">
        <v>725</v>
      </c>
    </row>
    <row r="664" spans="1:9" ht="11.25" customHeight="1">
      <c r="A664" s="1853" t="s">
        <v>2101</v>
      </c>
      <c r="B664" s="1853" t="s">
        <v>0</v>
      </c>
      <c r="C664" s="1853" t="s">
        <v>2485</v>
      </c>
      <c r="D664" s="1853" t="s">
        <v>2486</v>
      </c>
      <c r="E664" s="1853" t="s">
        <v>2487</v>
      </c>
      <c r="F664" s="1853" t="s">
        <v>2149</v>
      </c>
      <c r="G664" s="1853" t="s">
        <v>1</v>
      </c>
      <c r="H664" s="1853" t="s">
        <v>1</v>
      </c>
      <c r="I664" s="1853" t="s">
        <v>725</v>
      </c>
    </row>
    <row r="665" spans="1:9" ht="11.25" customHeight="1">
      <c r="A665" s="1853" t="s">
        <v>2101</v>
      </c>
      <c r="B665" s="1853" t="s">
        <v>0</v>
      </c>
      <c r="C665" s="1853" t="s">
        <v>2491</v>
      </c>
      <c r="D665" s="1853" t="s">
        <v>2492</v>
      </c>
      <c r="E665" s="1853" t="s">
        <v>2493</v>
      </c>
      <c r="F665" s="1853" t="s">
        <v>2329</v>
      </c>
      <c r="G665" s="1853" t="s">
        <v>2494</v>
      </c>
      <c r="H665" s="1853" t="s">
        <v>1</v>
      </c>
      <c r="I665" s="1853" t="s">
        <v>725</v>
      </c>
    </row>
    <row r="666" spans="1:9" ht="11.25" customHeight="1">
      <c r="A666" s="1853" t="s">
        <v>2101</v>
      </c>
      <c r="B666" s="1853" t="s">
        <v>0</v>
      </c>
      <c r="C666" s="1853" t="s">
        <v>2495</v>
      </c>
      <c r="D666" s="1853" t="s">
        <v>2496</v>
      </c>
      <c r="E666" s="1853" t="s">
        <v>2497</v>
      </c>
      <c r="F666" s="1853" t="s">
        <v>2498</v>
      </c>
      <c r="G666" s="1853" t="s">
        <v>2499</v>
      </c>
      <c r="H666" s="1853" t="s">
        <v>1</v>
      </c>
      <c r="I666" s="1853" t="s">
        <v>725</v>
      </c>
    </row>
    <row r="667" spans="1:9" ht="11.25" customHeight="1">
      <c r="A667" s="1853" t="s">
        <v>2101</v>
      </c>
      <c r="B667" s="1853" t="s">
        <v>0</v>
      </c>
      <c r="C667" s="1853" t="s">
        <v>2522</v>
      </c>
      <c r="D667" s="1853" t="s">
        <v>2523</v>
      </c>
      <c r="E667" s="1853" t="s">
        <v>2524</v>
      </c>
      <c r="F667" s="1853" t="s">
        <v>2178</v>
      </c>
      <c r="G667" s="1853" t="s">
        <v>1</v>
      </c>
      <c r="H667" s="1853" t="s">
        <v>1</v>
      </c>
      <c r="I667" s="1853" t="s">
        <v>725</v>
      </c>
    </row>
    <row r="668" spans="1:9" ht="11.25" customHeight="1">
      <c r="A668" s="1853" t="s">
        <v>2101</v>
      </c>
      <c r="B668" s="1853" t="s">
        <v>0</v>
      </c>
      <c r="C668" s="1853" t="s">
        <v>2532</v>
      </c>
      <c r="D668" s="1853" t="s">
        <v>2533</v>
      </c>
      <c r="E668" s="1853" t="s">
        <v>2534</v>
      </c>
      <c r="F668" s="1853" t="s">
        <v>2528</v>
      </c>
      <c r="G668" s="1853" t="s">
        <v>1</v>
      </c>
      <c r="H668" s="1853" t="s">
        <v>1</v>
      </c>
      <c r="I668" s="1853" t="s">
        <v>725</v>
      </c>
    </row>
    <row r="669" spans="1:9" ht="11.25" customHeight="1">
      <c r="A669" s="1853" t="s">
        <v>2101</v>
      </c>
      <c r="B669" s="1853" t="s">
        <v>0</v>
      </c>
      <c r="C669" s="1853" t="s">
        <v>2538</v>
      </c>
      <c r="D669" s="1853" t="s">
        <v>2539</v>
      </c>
      <c r="E669" s="1853" t="s">
        <v>2540</v>
      </c>
      <c r="F669" s="1853" t="s">
        <v>2230</v>
      </c>
      <c r="G669" s="1853" t="s">
        <v>1</v>
      </c>
      <c r="H669" s="1853" t="s">
        <v>1</v>
      </c>
      <c r="I669" s="1853" t="s">
        <v>725</v>
      </c>
    </row>
    <row r="670" spans="1:9" ht="11.25" customHeight="1">
      <c r="A670" s="1853" t="s">
        <v>2101</v>
      </c>
      <c r="B670" s="1853" t="s">
        <v>0</v>
      </c>
      <c r="C670" s="1853" t="s">
        <v>2541</v>
      </c>
      <c r="D670" s="1853" t="s">
        <v>2542</v>
      </c>
      <c r="E670" s="1853" t="s">
        <v>2543</v>
      </c>
      <c r="F670" s="1853" t="s">
        <v>2105</v>
      </c>
      <c r="G670" s="1853" t="s">
        <v>2544</v>
      </c>
      <c r="H670" s="1853" t="s">
        <v>1</v>
      </c>
      <c r="I670" s="1853" t="s">
        <v>725</v>
      </c>
    </row>
    <row r="671" spans="1:9" ht="11.25" customHeight="1">
      <c r="A671" s="1853" t="s">
        <v>2101</v>
      </c>
      <c r="B671" s="1853" t="s">
        <v>0</v>
      </c>
      <c r="C671" s="1853" t="s">
        <v>2552</v>
      </c>
      <c r="D671" s="1853" t="s">
        <v>2553</v>
      </c>
      <c r="E671" s="1853" t="s">
        <v>2554</v>
      </c>
      <c r="F671" s="1853" t="s">
        <v>2132</v>
      </c>
      <c r="G671" s="1853" t="s">
        <v>1</v>
      </c>
      <c r="H671" s="1853" t="s">
        <v>1</v>
      </c>
      <c r="I671" s="1853" t="s">
        <v>725</v>
      </c>
    </row>
    <row r="672" spans="1:9" ht="11.25" customHeight="1">
      <c r="A672" s="1853" t="s">
        <v>2101</v>
      </c>
      <c r="B672" s="1853" t="s">
        <v>0</v>
      </c>
      <c r="C672" s="1853" t="s">
        <v>2580</v>
      </c>
      <c r="D672" s="1853" t="s">
        <v>2581</v>
      </c>
      <c r="E672" s="1853" t="s">
        <v>2582</v>
      </c>
      <c r="F672" s="1853" t="s">
        <v>2178</v>
      </c>
      <c r="G672" s="1853" t="s">
        <v>1</v>
      </c>
      <c r="H672" s="1853" t="s">
        <v>1</v>
      </c>
      <c r="I672" s="1853" t="s">
        <v>725</v>
      </c>
    </row>
    <row r="673" spans="1:9" ht="11.25" customHeight="1">
      <c r="A673" s="1853" t="s">
        <v>2101</v>
      </c>
      <c r="B673" s="1853" t="s">
        <v>0</v>
      </c>
      <c r="C673" s="1853" t="s">
        <v>2606</v>
      </c>
      <c r="D673" s="1853" t="s">
        <v>2607</v>
      </c>
      <c r="E673" s="1853" t="s">
        <v>2608</v>
      </c>
      <c r="F673" s="1853" t="s">
        <v>2149</v>
      </c>
      <c r="G673" s="1853" t="s">
        <v>2609</v>
      </c>
      <c r="H673" s="1853" t="s">
        <v>1</v>
      </c>
      <c r="I673" s="1853" t="s">
        <v>725</v>
      </c>
    </row>
    <row r="674" spans="1:9" ht="11.25" customHeight="1">
      <c r="A674" s="1853" t="s">
        <v>2101</v>
      </c>
      <c r="B674" s="1853" t="s">
        <v>0</v>
      </c>
      <c r="C674" s="1853" t="s">
        <v>2617</v>
      </c>
      <c r="D674" s="1853" t="s">
        <v>2618</v>
      </c>
      <c r="E674" s="1853" t="s">
        <v>2619</v>
      </c>
      <c r="F674" s="1853" t="s">
        <v>2222</v>
      </c>
      <c r="G674" s="1853" t="s">
        <v>2620</v>
      </c>
      <c r="H674" s="1853" t="s">
        <v>1</v>
      </c>
      <c r="I674" s="1853" t="s">
        <v>725</v>
      </c>
    </row>
    <row r="675" spans="1:9" ht="11.25" customHeight="1">
      <c r="A675" s="1853" t="s">
        <v>2101</v>
      </c>
      <c r="B675" s="1853" t="s">
        <v>0</v>
      </c>
      <c r="C675" s="1853" t="s">
        <v>2642</v>
      </c>
      <c r="D675" s="1853" t="s">
        <v>2643</v>
      </c>
      <c r="E675" s="1853" t="s">
        <v>2644</v>
      </c>
      <c r="F675" s="1853" t="s">
        <v>493</v>
      </c>
      <c r="G675" s="1853" t="s">
        <v>1</v>
      </c>
      <c r="H675" s="1853" t="s">
        <v>1</v>
      </c>
      <c r="I675" s="1853" t="s">
        <v>725</v>
      </c>
    </row>
    <row r="676" spans="1:9" ht="11.25" customHeight="1">
      <c r="A676" s="1853" t="s">
        <v>2101</v>
      </c>
      <c r="B676" s="1853" t="s">
        <v>0</v>
      </c>
      <c r="C676" s="1853" t="s">
        <v>2690</v>
      </c>
      <c r="D676" s="1853" t="s">
        <v>2691</v>
      </c>
      <c r="E676" s="1853" t="s">
        <v>2692</v>
      </c>
      <c r="F676" s="1853" t="s">
        <v>2141</v>
      </c>
      <c r="G676" s="1853" t="s">
        <v>1</v>
      </c>
      <c r="H676" s="1853" t="s">
        <v>1</v>
      </c>
      <c r="I676" s="1853" t="s">
        <v>725</v>
      </c>
    </row>
    <row r="677" spans="1:9" ht="11.25" customHeight="1">
      <c r="A677" s="1853" t="s">
        <v>2101</v>
      </c>
      <c r="B677" s="1853" t="s">
        <v>0</v>
      </c>
      <c r="C677" s="1853" t="s">
        <v>2693</v>
      </c>
      <c r="D677" s="1853" t="s">
        <v>2694</v>
      </c>
      <c r="E677" s="1853" t="s">
        <v>2695</v>
      </c>
      <c r="F677" s="1853" t="s">
        <v>2196</v>
      </c>
      <c r="G677" s="1853" t="s">
        <v>1</v>
      </c>
      <c r="H677" s="1853" t="s">
        <v>1</v>
      </c>
      <c r="I677" s="1853" t="s">
        <v>725</v>
      </c>
    </row>
    <row r="678" spans="1:9" ht="11.25" customHeight="1">
      <c r="A678" s="1853" t="s">
        <v>2101</v>
      </c>
      <c r="B678" s="1853" t="s">
        <v>0</v>
      </c>
      <c r="C678" s="1853" t="s">
        <v>2699</v>
      </c>
      <c r="D678" s="1853" t="s">
        <v>2700</v>
      </c>
      <c r="E678" s="1853" t="s">
        <v>2701</v>
      </c>
      <c r="F678" s="1853" t="s">
        <v>2141</v>
      </c>
      <c r="G678" s="1853" t="s">
        <v>1</v>
      </c>
      <c r="H678" s="1853" t="s">
        <v>1</v>
      </c>
      <c r="I678" s="1853" t="s">
        <v>725</v>
      </c>
    </row>
    <row r="679" spans="1:9" ht="11.25" customHeight="1">
      <c r="A679" s="1853" t="s">
        <v>2101</v>
      </c>
      <c r="B679" s="1853" t="s">
        <v>0</v>
      </c>
      <c r="C679" s="1853" t="s">
        <v>2702</v>
      </c>
      <c r="D679" s="1853" t="s">
        <v>2703</v>
      </c>
      <c r="E679" s="1853" t="s">
        <v>2704</v>
      </c>
      <c r="F679" s="1853" t="s">
        <v>2141</v>
      </c>
      <c r="G679" s="1853" t="s">
        <v>1</v>
      </c>
      <c r="H679" s="1853" t="s">
        <v>1</v>
      </c>
      <c r="I679" s="1853" t="s">
        <v>725</v>
      </c>
    </row>
    <row r="680" spans="1:9" ht="11.25" customHeight="1">
      <c r="A680" s="1853" t="s">
        <v>2101</v>
      </c>
      <c r="B680" s="1853" t="s">
        <v>0</v>
      </c>
      <c r="C680" s="1853" t="s">
        <v>2705</v>
      </c>
      <c r="D680" s="1853" t="s">
        <v>2706</v>
      </c>
      <c r="E680" s="1853" t="s">
        <v>2707</v>
      </c>
      <c r="F680" s="1853" t="s">
        <v>2708</v>
      </c>
      <c r="G680" s="1853" t="s">
        <v>1</v>
      </c>
      <c r="H680" s="1853" t="s">
        <v>1</v>
      </c>
      <c r="I680" s="1853" t="s">
        <v>725</v>
      </c>
    </row>
    <row r="681" spans="1:9" ht="11.25" customHeight="1">
      <c r="A681" s="1853" t="s">
        <v>2101</v>
      </c>
      <c r="B681" s="1853" t="s">
        <v>0</v>
      </c>
      <c r="C681" s="1853" t="s">
        <v>2709</v>
      </c>
      <c r="D681" s="1853" t="s">
        <v>2710</v>
      </c>
      <c r="E681" s="1853" t="s">
        <v>2711</v>
      </c>
      <c r="F681" s="1853" t="s">
        <v>2191</v>
      </c>
      <c r="G681" s="1853" t="s">
        <v>1</v>
      </c>
      <c r="H681" s="1853" t="s">
        <v>1</v>
      </c>
      <c r="I681" s="1853" t="s">
        <v>725</v>
      </c>
    </row>
    <row r="682" spans="1:9" ht="11.25" customHeight="1">
      <c r="A682" s="1853" t="s">
        <v>2101</v>
      </c>
      <c r="B682" s="1853" t="s">
        <v>0</v>
      </c>
      <c r="C682" s="1853" t="s">
        <v>2712</v>
      </c>
      <c r="D682" s="1853" t="s">
        <v>2713</v>
      </c>
      <c r="E682" s="1853" t="s">
        <v>2714</v>
      </c>
      <c r="F682" s="1853" t="s">
        <v>2424</v>
      </c>
      <c r="G682" s="1853" t="s">
        <v>1</v>
      </c>
      <c r="H682" s="1853" t="s">
        <v>1</v>
      </c>
      <c r="I682" s="1853" t="s">
        <v>725</v>
      </c>
    </row>
    <row r="683" spans="1:9" ht="11.25" customHeight="1">
      <c r="A683" s="1853" t="s">
        <v>2101</v>
      </c>
      <c r="B683" s="1853" t="s">
        <v>0</v>
      </c>
      <c r="C683" s="1853" t="s">
        <v>2715</v>
      </c>
      <c r="D683" s="1853" t="s">
        <v>2716</v>
      </c>
      <c r="E683" s="1853" t="s">
        <v>2717</v>
      </c>
      <c r="F683" s="1853" t="s">
        <v>2708</v>
      </c>
      <c r="G683" s="1853" t="s">
        <v>1</v>
      </c>
      <c r="H683" s="1853" t="s">
        <v>1</v>
      </c>
      <c r="I683" s="1853" t="s">
        <v>725</v>
      </c>
    </row>
    <row r="684" spans="1:9" ht="11.25" customHeight="1">
      <c r="A684" s="1853" t="s">
        <v>2101</v>
      </c>
      <c r="B684" s="1853" t="s">
        <v>0</v>
      </c>
      <c r="C684" s="1853" t="s">
        <v>2718</v>
      </c>
      <c r="D684" s="1853" t="s">
        <v>2719</v>
      </c>
      <c r="E684" s="1853" t="s">
        <v>2720</v>
      </c>
      <c r="F684" s="1853" t="s">
        <v>2196</v>
      </c>
      <c r="G684" s="1853" t="s">
        <v>1</v>
      </c>
      <c r="H684" s="1853" t="s">
        <v>1</v>
      </c>
      <c r="I684" s="1853" t="s">
        <v>725</v>
      </c>
    </row>
    <row r="685" spans="1:9" ht="11.25" customHeight="1">
      <c r="A685" s="1853" t="s">
        <v>2101</v>
      </c>
      <c r="B685" s="1853" t="s">
        <v>0</v>
      </c>
      <c r="C685" s="1853" t="s">
        <v>2721</v>
      </c>
      <c r="D685" s="1853" t="s">
        <v>2722</v>
      </c>
      <c r="E685" s="1853" t="s">
        <v>2723</v>
      </c>
      <c r="F685" s="1853" t="s">
        <v>2572</v>
      </c>
      <c r="G685" s="1853" t="s">
        <v>2724</v>
      </c>
      <c r="H685" s="1853" t="s">
        <v>1</v>
      </c>
      <c r="I685" s="1853" t="s">
        <v>725</v>
      </c>
    </row>
    <row r="686" spans="1:9" ht="11.25" customHeight="1">
      <c r="A686" s="1853" t="s">
        <v>2101</v>
      </c>
      <c r="B686" s="1853" t="s">
        <v>0</v>
      </c>
      <c r="C686" s="1853" t="s">
        <v>2728</v>
      </c>
      <c r="D686" s="1853" t="s">
        <v>2729</v>
      </c>
      <c r="E686" s="1853" t="s">
        <v>2730</v>
      </c>
      <c r="F686" s="1853" t="s">
        <v>2416</v>
      </c>
      <c r="G686" s="1853" t="s">
        <v>1</v>
      </c>
      <c r="H686" s="1853" t="s">
        <v>1</v>
      </c>
      <c r="I686" s="1853" t="s">
        <v>725</v>
      </c>
    </row>
    <row r="687" spans="1:9" ht="11.25" customHeight="1">
      <c r="A687" s="1853" t="s">
        <v>2101</v>
      </c>
      <c r="B687" s="1853" t="s">
        <v>0</v>
      </c>
      <c r="C687" s="1853" t="s">
        <v>2731</v>
      </c>
      <c r="D687" s="1853" t="s">
        <v>2732</v>
      </c>
      <c r="E687" s="1853" t="s">
        <v>2733</v>
      </c>
      <c r="F687" s="1853" t="s">
        <v>2132</v>
      </c>
      <c r="G687" s="1853" t="s">
        <v>1</v>
      </c>
      <c r="H687" s="1853" t="s">
        <v>1</v>
      </c>
      <c r="I687" s="1853" t="s">
        <v>725</v>
      </c>
    </row>
    <row r="688" spans="1:9" ht="11.25" customHeight="1">
      <c r="A688" s="1853" t="s">
        <v>2101</v>
      </c>
      <c r="B688" s="1853" t="s">
        <v>0</v>
      </c>
      <c r="C688" s="1853" t="s">
        <v>2778</v>
      </c>
      <c r="D688" s="1853" t="s">
        <v>2779</v>
      </c>
      <c r="E688" s="1853" t="s">
        <v>2780</v>
      </c>
      <c r="F688" s="1853" t="s">
        <v>2708</v>
      </c>
      <c r="G688" s="1853" t="s">
        <v>2781</v>
      </c>
      <c r="H688" s="1853" t="s">
        <v>1</v>
      </c>
      <c r="I688" s="1853" t="s">
        <v>725</v>
      </c>
    </row>
    <row r="689" spans="1:9" ht="11.25" customHeight="1">
      <c r="A689" s="1853" t="s">
        <v>2101</v>
      </c>
      <c r="B689" s="1853" t="s">
        <v>0</v>
      </c>
      <c r="C689" s="1853" t="s">
        <v>2782</v>
      </c>
      <c r="D689" s="1853" t="s">
        <v>2783</v>
      </c>
      <c r="E689" s="1853" t="s">
        <v>2784</v>
      </c>
      <c r="F689" s="1853" t="s">
        <v>2708</v>
      </c>
      <c r="G689" s="1853" t="s">
        <v>1</v>
      </c>
      <c r="H689" s="1853" t="s">
        <v>1</v>
      </c>
      <c r="I689" s="1853" t="s">
        <v>725</v>
      </c>
    </row>
    <row r="690" spans="1:9" ht="11.25" customHeight="1">
      <c r="A690" s="1853" t="s">
        <v>2101</v>
      </c>
      <c r="B690" s="1853" t="s">
        <v>0</v>
      </c>
      <c r="C690" s="1853" t="s">
        <v>2785</v>
      </c>
      <c r="D690" s="1853" t="s">
        <v>2786</v>
      </c>
      <c r="E690" s="1853" t="s">
        <v>2787</v>
      </c>
      <c r="F690" s="1853" t="s">
        <v>2105</v>
      </c>
      <c r="G690" s="1853" t="s">
        <v>2788</v>
      </c>
      <c r="H690" s="1853" t="s">
        <v>1</v>
      </c>
      <c r="I690" s="1853" t="s">
        <v>725</v>
      </c>
    </row>
    <row r="691" spans="1:9" ht="11.25" customHeight="1">
      <c r="A691" s="1853" t="s">
        <v>2101</v>
      </c>
      <c r="B691" s="1853" t="s">
        <v>0</v>
      </c>
      <c r="C691" s="1853" t="s">
        <v>2789</v>
      </c>
      <c r="D691" s="1853" t="s">
        <v>2790</v>
      </c>
      <c r="E691" s="1853" t="s">
        <v>2791</v>
      </c>
      <c r="F691" s="1853" t="s">
        <v>2424</v>
      </c>
      <c r="G691" s="1853" t="s">
        <v>1</v>
      </c>
      <c r="H691" s="1853" t="s">
        <v>1</v>
      </c>
      <c r="I691" s="1853" t="s">
        <v>725</v>
      </c>
    </row>
    <row r="692" spans="1:9" ht="11.25" customHeight="1">
      <c r="A692" s="1853" t="s">
        <v>2101</v>
      </c>
      <c r="B692" s="1853" t="s">
        <v>0</v>
      </c>
      <c r="C692" s="1853" t="s">
        <v>2792</v>
      </c>
      <c r="D692" s="1853" t="s">
        <v>2793</v>
      </c>
      <c r="E692" s="1853" t="s">
        <v>2794</v>
      </c>
      <c r="F692" s="1853" t="s">
        <v>2191</v>
      </c>
      <c r="G692" s="1853" t="s">
        <v>2795</v>
      </c>
      <c r="H692" s="1853" t="s">
        <v>1</v>
      </c>
      <c r="I692" s="1853" t="s">
        <v>725</v>
      </c>
    </row>
    <row r="693" spans="1:9" ht="11.25" customHeight="1">
      <c r="A693" s="1853" t="s">
        <v>2101</v>
      </c>
      <c r="B693" s="1853" t="s">
        <v>0</v>
      </c>
      <c r="C693" s="1853" t="s">
        <v>2799</v>
      </c>
      <c r="D693" s="1853" t="s">
        <v>2800</v>
      </c>
      <c r="E693" s="1853" t="s">
        <v>2801</v>
      </c>
      <c r="F693" s="1853" t="s">
        <v>2141</v>
      </c>
      <c r="G693" s="1853" t="s">
        <v>2802</v>
      </c>
      <c r="H693" s="1853" t="s">
        <v>1</v>
      </c>
      <c r="I693" s="1853" t="s">
        <v>725</v>
      </c>
    </row>
    <row r="694" spans="1:9" ht="11.25" customHeight="1">
      <c r="A694" s="1853" t="s">
        <v>2101</v>
      </c>
      <c r="B694" s="1853" t="s">
        <v>0</v>
      </c>
      <c r="C694" s="1853" t="s">
        <v>2803</v>
      </c>
      <c r="D694" s="1853" t="s">
        <v>2804</v>
      </c>
      <c r="E694" s="1853" t="s">
        <v>2805</v>
      </c>
      <c r="F694" s="1853" t="s">
        <v>2708</v>
      </c>
      <c r="G694" s="1853" t="s">
        <v>2806</v>
      </c>
      <c r="H694" s="1853" t="s">
        <v>1</v>
      </c>
      <c r="I694" s="1853" t="s">
        <v>725</v>
      </c>
    </row>
    <row r="695" spans="1:9" ht="11.25" customHeight="1">
      <c r="A695" s="1853" t="s">
        <v>2101</v>
      </c>
      <c r="B695" s="1853" t="s">
        <v>0</v>
      </c>
      <c r="C695" s="1853" t="s">
        <v>2811</v>
      </c>
      <c r="D695" s="1853" t="s">
        <v>2812</v>
      </c>
      <c r="E695" s="1853" t="s">
        <v>2813</v>
      </c>
      <c r="F695" s="1853" t="s">
        <v>2329</v>
      </c>
      <c r="G695" s="1853" t="s">
        <v>2814</v>
      </c>
      <c r="H695" s="1853" t="s">
        <v>1</v>
      </c>
      <c r="I695" s="1853" t="s">
        <v>725</v>
      </c>
    </row>
    <row r="696" spans="1:9" ht="11.25" customHeight="1">
      <c r="A696" s="1853" t="s">
        <v>2101</v>
      </c>
      <c r="B696" s="1853" t="s">
        <v>0</v>
      </c>
      <c r="C696" s="1853" t="s">
        <v>2828</v>
      </c>
      <c r="D696" s="1853" t="s">
        <v>2829</v>
      </c>
      <c r="E696" s="1853" t="s">
        <v>2830</v>
      </c>
      <c r="F696" s="1853" t="s">
        <v>2182</v>
      </c>
      <c r="G696" s="1853" t="s">
        <v>2831</v>
      </c>
      <c r="H696" s="1853" t="s">
        <v>1</v>
      </c>
      <c r="I696" s="1853" t="s">
        <v>725</v>
      </c>
    </row>
    <row r="697" spans="1:9" ht="11.25" customHeight="1">
      <c r="A697" s="1853" t="s">
        <v>2101</v>
      </c>
      <c r="B697" s="1853" t="s">
        <v>0</v>
      </c>
      <c r="C697" s="1853" t="s">
        <v>2835</v>
      </c>
      <c r="D697" s="1853" t="s">
        <v>2836</v>
      </c>
      <c r="E697" s="1853" t="s">
        <v>2837</v>
      </c>
      <c r="F697" s="1853" t="s">
        <v>2187</v>
      </c>
      <c r="G697" s="1853" t="s">
        <v>1</v>
      </c>
      <c r="H697" s="1853" t="s">
        <v>1</v>
      </c>
      <c r="I697" s="1853" t="s">
        <v>725</v>
      </c>
    </row>
    <row r="698" spans="1:9" ht="11.25" customHeight="1">
      <c r="A698" s="1853" t="s">
        <v>2101</v>
      </c>
      <c r="B698" s="1853" t="s">
        <v>0</v>
      </c>
      <c r="C698" s="1853" t="s">
        <v>2843</v>
      </c>
      <c r="D698" s="1853" t="s">
        <v>2844</v>
      </c>
      <c r="E698" s="1853" t="s">
        <v>2845</v>
      </c>
      <c r="F698" s="1853" t="s">
        <v>2424</v>
      </c>
      <c r="G698" s="1853" t="s">
        <v>2846</v>
      </c>
      <c r="H698" s="1853" t="s">
        <v>1</v>
      </c>
      <c r="I698" s="1853" t="s">
        <v>725</v>
      </c>
    </row>
    <row r="699" spans="1:9" ht="11.25" customHeight="1">
      <c r="A699" s="1853" t="s">
        <v>2101</v>
      </c>
      <c r="B699" s="1853" t="s">
        <v>0</v>
      </c>
      <c r="C699" s="1853" t="s">
        <v>2851</v>
      </c>
      <c r="D699" s="1853" t="s">
        <v>2852</v>
      </c>
      <c r="E699" s="1853" t="s">
        <v>2853</v>
      </c>
      <c r="F699" s="1853" t="s">
        <v>2416</v>
      </c>
      <c r="G699" s="1853" t="s">
        <v>1</v>
      </c>
      <c r="H699" s="1853" t="s">
        <v>1</v>
      </c>
      <c r="I699" s="1853" t="s">
        <v>725</v>
      </c>
    </row>
    <row r="700" spans="1:9" ht="11.25" customHeight="1">
      <c r="A700" s="1853" t="s">
        <v>2101</v>
      </c>
      <c r="B700" s="1853" t="s">
        <v>0</v>
      </c>
      <c r="C700" s="1853" t="s">
        <v>2858</v>
      </c>
      <c r="D700" s="1853" t="s">
        <v>2859</v>
      </c>
      <c r="E700" s="1853" t="s">
        <v>2860</v>
      </c>
      <c r="F700" s="1853" t="s">
        <v>2191</v>
      </c>
      <c r="G700" s="1853" t="s">
        <v>2861</v>
      </c>
      <c r="H700" s="1853" t="s">
        <v>1</v>
      </c>
      <c r="I700" s="1853" t="s">
        <v>725</v>
      </c>
    </row>
    <row r="701" spans="1:9" ht="11.25" customHeight="1">
      <c r="A701" s="1853" t="s">
        <v>2101</v>
      </c>
      <c r="B701" s="1853" t="s">
        <v>0</v>
      </c>
      <c r="C701" s="1853" t="s">
        <v>2872</v>
      </c>
      <c r="D701" s="1853" t="s">
        <v>2873</v>
      </c>
      <c r="E701" s="1853" t="s">
        <v>2874</v>
      </c>
      <c r="F701" s="1853" t="s">
        <v>2141</v>
      </c>
      <c r="G701" s="1853" t="s">
        <v>2875</v>
      </c>
      <c r="H701" s="1853" t="s">
        <v>1</v>
      </c>
      <c r="I701" s="1853" t="s">
        <v>725</v>
      </c>
    </row>
    <row r="702" spans="1:9" ht="11.25" customHeight="1">
      <c r="A702" s="1853" t="s">
        <v>2101</v>
      </c>
      <c r="B702" s="1853" t="s">
        <v>0</v>
      </c>
      <c r="C702" s="1853" t="s">
        <v>2876</v>
      </c>
      <c r="D702" s="1853" t="s">
        <v>2877</v>
      </c>
      <c r="E702" s="1853" t="s">
        <v>2878</v>
      </c>
      <c r="F702" s="1853" t="s">
        <v>2191</v>
      </c>
      <c r="G702" s="1853" t="s">
        <v>2879</v>
      </c>
      <c r="H702" s="1853" t="s">
        <v>1</v>
      </c>
      <c r="I702" s="1853" t="s">
        <v>725</v>
      </c>
    </row>
    <row r="703" spans="1:9" ht="11.25" customHeight="1">
      <c r="A703" s="1853" t="s">
        <v>2101</v>
      </c>
      <c r="B703" s="1853" t="s">
        <v>0</v>
      </c>
      <c r="C703" s="1853" t="s">
        <v>2880</v>
      </c>
      <c r="D703" s="1853" t="s">
        <v>2881</v>
      </c>
      <c r="E703" s="1853" t="s">
        <v>2882</v>
      </c>
      <c r="F703" s="1853" t="s">
        <v>2424</v>
      </c>
      <c r="G703" s="1853" t="s">
        <v>2883</v>
      </c>
      <c r="H703" s="1853" t="s">
        <v>1</v>
      </c>
      <c r="I703" s="1853" t="s">
        <v>725</v>
      </c>
    </row>
    <row r="704" spans="1:9" ht="11.25" customHeight="1">
      <c r="A704" s="1853" t="s">
        <v>2101</v>
      </c>
      <c r="B704" s="1853" t="s">
        <v>0</v>
      </c>
      <c r="C704" s="1853" t="s">
        <v>2884</v>
      </c>
      <c r="D704" s="1853" t="s">
        <v>2885</v>
      </c>
      <c r="E704" s="1853" t="s">
        <v>2886</v>
      </c>
      <c r="F704" s="1853" t="s">
        <v>2141</v>
      </c>
      <c r="G704" s="1853" t="s">
        <v>2887</v>
      </c>
      <c r="H704" s="1853" t="s">
        <v>1</v>
      </c>
      <c r="I704" s="1853" t="s">
        <v>725</v>
      </c>
    </row>
    <row r="705" spans="1:9" ht="11.25" customHeight="1">
      <c r="A705" s="1853" t="s">
        <v>2101</v>
      </c>
      <c r="B705" s="1853" t="s">
        <v>0</v>
      </c>
      <c r="C705" s="1853" t="s">
        <v>2899</v>
      </c>
      <c r="D705" s="1853" t="s">
        <v>2900</v>
      </c>
      <c r="E705" s="1853" t="s">
        <v>2901</v>
      </c>
      <c r="F705" s="1853" t="s">
        <v>2141</v>
      </c>
      <c r="G705" s="1853" t="s">
        <v>1</v>
      </c>
      <c r="H705" s="1853" t="s">
        <v>1</v>
      </c>
      <c r="I705" s="1853" t="s">
        <v>725</v>
      </c>
    </row>
    <row r="706" spans="1:9" ht="11.25" customHeight="1">
      <c r="A706" s="1853" t="s">
        <v>2101</v>
      </c>
      <c r="B706" s="1853" t="s">
        <v>0</v>
      </c>
      <c r="C706" s="1853" t="s">
        <v>2902</v>
      </c>
      <c r="D706" s="1853" t="s">
        <v>2903</v>
      </c>
      <c r="E706" s="1853" t="s">
        <v>2904</v>
      </c>
      <c r="F706" s="1853" t="s">
        <v>2191</v>
      </c>
      <c r="G706" s="1853" t="s">
        <v>2905</v>
      </c>
      <c r="H706" s="1853" t="s">
        <v>1</v>
      </c>
      <c r="I706" s="1853" t="s">
        <v>725</v>
      </c>
    </row>
    <row r="707" spans="1:9" ht="11.25" customHeight="1">
      <c r="A707" s="1853" t="s">
        <v>2101</v>
      </c>
      <c r="B707" s="1853" t="s">
        <v>0</v>
      </c>
      <c r="C707" s="1853" t="s">
        <v>2910</v>
      </c>
      <c r="D707" s="1853" t="s">
        <v>2911</v>
      </c>
      <c r="E707" s="1853" t="s">
        <v>2912</v>
      </c>
      <c r="F707" s="1853" t="s">
        <v>2187</v>
      </c>
      <c r="G707" s="1853" t="s">
        <v>2913</v>
      </c>
      <c r="H707" s="1853" t="s">
        <v>1</v>
      </c>
      <c r="I707" s="1853" t="s">
        <v>725</v>
      </c>
    </row>
    <row r="708" spans="1:9" ht="11.25" customHeight="1">
      <c r="A708" s="1853" t="s">
        <v>2101</v>
      </c>
      <c r="B708" s="1853" t="s">
        <v>0</v>
      </c>
      <c r="C708" s="1853" t="s">
        <v>2922</v>
      </c>
      <c r="D708" s="1853" t="s">
        <v>2923</v>
      </c>
      <c r="E708" s="1853" t="s">
        <v>2924</v>
      </c>
      <c r="F708" s="1853" t="s">
        <v>2159</v>
      </c>
      <c r="G708" s="1853" t="s">
        <v>2925</v>
      </c>
      <c r="H708" s="1853" t="s">
        <v>1</v>
      </c>
      <c r="I708" s="1853" t="s">
        <v>725</v>
      </c>
    </row>
    <row r="709" spans="1:9" ht="11.25" customHeight="1">
      <c r="A709" s="1853" t="s">
        <v>2101</v>
      </c>
      <c r="B709" s="1853" t="s">
        <v>0</v>
      </c>
      <c r="C709" s="1853" t="s">
        <v>2929</v>
      </c>
      <c r="D709" s="1853" t="s">
        <v>2930</v>
      </c>
      <c r="E709" s="1853" t="s">
        <v>2931</v>
      </c>
      <c r="F709" s="1853" t="s">
        <v>2239</v>
      </c>
      <c r="G709" s="1853" t="s">
        <v>2932</v>
      </c>
      <c r="H709" s="1853" t="s">
        <v>1</v>
      </c>
      <c r="I709" s="1853" t="s">
        <v>725</v>
      </c>
    </row>
    <row r="710" spans="1:9" ht="11.25" customHeight="1">
      <c r="A710" s="1853" t="s">
        <v>2101</v>
      </c>
      <c r="B710" s="1853" t="s">
        <v>0</v>
      </c>
      <c r="C710" s="1853" t="s">
        <v>2933</v>
      </c>
      <c r="D710" s="1853" t="s">
        <v>2934</v>
      </c>
      <c r="E710" s="1853" t="s">
        <v>2935</v>
      </c>
      <c r="F710" s="1853" t="s">
        <v>2936</v>
      </c>
      <c r="G710" s="1853" t="s">
        <v>2937</v>
      </c>
      <c r="H710" s="1853" t="s">
        <v>1</v>
      </c>
      <c r="I710" s="1853" t="s">
        <v>725</v>
      </c>
    </row>
    <row r="711" spans="1:9" ht="11.25" customHeight="1">
      <c r="A711" s="1853" t="s">
        <v>2101</v>
      </c>
      <c r="B711" s="1853" t="s">
        <v>0</v>
      </c>
      <c r="C711" s="1853" t="s">
        <v>2941</v>
      </c>
      <c r="D711" s="1853" t="s">
        <v>2942</v>
      </c>
      <c r="E711" s="1853" t="s">
        <v>2943</v>
      </c>
      <c r="F711" s="1853" t="s">
        <v>2191</v>
      </c>
      <c r="G711" s="1853" t="s">
        <v>2944</v>
      </c>
      <c r="H711" s="1853" t="s">
        <v>1</v>
      </c>
      <c r="I711" s="1853" t="s">
        <v>725</v>
      </c>
    </row>
    <row r="712" spans="1:9" ht="11.25" customHeight="1">
      <c r="A712" s="1853" t="s">
        <v>2101</v>
      </c>
      <c r="B712" s="1853" t="s">
        <v>0</v>
      </c>
      <c r="C712" s="1853" t="s">
        <v>2945</v>
      </c>
      <c r="D712" s="1853" t="s">
        <v>2946</v>
      </c>
      <c r="E712" s="1853" t="s">
        <v>2947</v>
      </c>
      <c r="F712" s="1853" t="s">
        <v>2187</v>
      </c>
      <c r="G712" s="1853" t="s">
        <v>2948</v>
      </c>
      <c r="H712" s="1853" t="s">
        <v>1</v>
      </c>
      <c r="I712" s="1853" t="s">
        <v>725</v>
      </c>
    </row>
    <row r="713" spans="1:9" ht="11.25" customHeight="1">
      <c r="A713" s="1853" t="s">
        <v>2101</v>
      </c>
      <c r="B713" s="1853" t="s">
        <v>0</v>
      </c>
      <c r="C713" s="1853" t="s">
        <v>2949</v>
      </c>
      <c r="D713" s="1853" t="s">
        <v>2950</v>
      </c>
      <c r="E713" s="1853" t="s">
        <v>2951</v>
      </c>
      <c r="F713" s="1853" t="s">
        <v>2187</v>
      </c>
      <c r="G713" s="1853" t="s">
        <v>2952</v>
      </c>
      <c r="H713" s="1853" t="s">
        <v>1</v>
      </c>
      <c r="I713" s="1853" t="s">
        <v>725</v>
      </c>
    </row>
    <row r="714" spans="1:9" ht="11.25" customHeight="1">
      <c r="A714" s="1853" t="s">
        <v>2101</v>
      </c>
      <c r="B714" s="1853" t="s">
        <v>0</v>
      </c>
      <c r="C714" s="1853" t="s">
        <v>2959</v>
      </c>
      <c r="D714" s="1853" t="s">
        <v>2960</v>
      </c>
      <c r="E714" s="1853" t="s">
        <v>2961</v>
      </c>
      <c r="F714" s="1853" t="s">
        <v>2528</v>
      </c>
      <c r="G714" s="1853" t="s">
        <v>1</v>
      </c>
      <c r="H714" s="1853" t="s">
        <v>1</v>
      </c>
      <c r="I714" s="1853" t="s">
        <v>725</v>
      </c>
    </row>
    <row r="715" spans="1:9" ht="11.25" customHeight="1">
      <c r="A715" s="1853" t="s">
        <v>2101</v>
      </c>
      <c r="B715" s="1853" t="s">
        <v>0</v>
      </c>
      <c r="C715" s="1853" t="s">
        <v>2962</v>
      </c>
      <c r="D715" s="1853" t="s">
        <v>2963</v>
      </c>
      <c r="E715" s="1853" t="s">
        <v>2964</v>
      </c>
      <c r="F715" s="1853" t="s">
        <v>2528</v>
      </c>
      <c r="G715" s="1853" t="s">
        <v>1</v>
      </c>
      <c r="H715" s="1853" t="s">
        <v>1</v>
      </c>
      <c r="I715" s="1853" t="s">
        <v>725</v>
      </c>
    </row>
    <row r="716" spans="1:9" ht="11.25" customHeight="1">
      <c r="A716" s="1853" t="s">
        <v>2101</v>
      </c>
      <c r="B716" s="1853" t="s">
        <v>0</v>
      </c>
      <c r="C716" s="1853" t="s">
        <v>2965</v>
      </c>
      <c r="D716" s="1853" t="s">
        <v>2966</v>
      </c>
      <c r="E716" s="1853" t="s">
        <v>2967</v>
      </c>
      <c r="F716" s="1853" t="s">
        <v>2528</v>
      </c>
      <c r="G716" s="1853" t="s">
        <v>2968</v>
      </c>
      <c r="H716" s="1853" t="s">
        <v>1</v>
      </c>
      <c r="I716" s="1853" t="s">
        <v>725</v>
      </c>
    </row>
    <row r="717" spans="1:9" ht="11.25" customHeight="1">
      <c r="A717" s="1853" t="s">
        <v>2101</v>
      </c>
      <c r="B717" s="1853" t="s">
        <v>0</v>
      </c>
      <c r="C717" s="1853" t="s">
        <v>2969</v>
      </c>
      <c r="D717" s="1853" t="s">
        <v>2970</v>
      </c>
      <c r="E717" s="1853" t="s">
        <v>2971</v>
      </c>
      <c r="F717" s="1853" t="s">
        <v>2528</v>
      </c>
      <c r="G717" s="1853" t="s">
        <v>2972</v>
      </c>
      <c r="H717" s="1853" t="s">
        <v>1</v>
      </c>
      <c r="I717" s="1853" t="s">
        <v>725</v>
      </c>
    </row>
    <row r="718" spans="1:9" ht="11.25" customHeight="1">
      <c r="A718" s="1853" t="s">
        <v>2101</v>
      </c>
      <c r="B718" s="1853" t="s">
        <v>0</v>
      </c>
      <c r="C718" s="1853" t="s">
        <v>2987</v>
      </c>
      <c r="D718" s="1853" t="s">
        <v>2988</v>
      </c>
      <c r="E718" s="1853" t="s">
        <v>2989</v>
      </c>
      <c r="F718" s="1853" t="s">
        <v>2990</v>
      </c>
      <c r="G718" s="1853" t="s">
        <v>1</v>
      </c>
      <c r="H718" s="1853" t="s">
        <v>1</v>
      </c>
      <c r="I718" s="1853" t="s">
        <v>725</v>
      </c>
    </row>
    <row r="719" spans="1:9" ht="11.25" customHeight="1">
      <c r="A719" s="1853" t="s">
        <v>2101</v>
      </c>
      <c r="B719" s="1853" t="s">
        <v>0</v>
      </c>
      <c r="C719" s="1853" t="s">
        <v>2991</v>
      </c>
      <c r="D719" s="1853" t="s">
        <v>2992</v>
      </c>
      <c r="E719" s="1853" t="s">
        <v>2993</v>
      </c>
      <c r="F719" s="1853" t="s">
        <v>2239</v>
      </c>
      <c r="G719" s="1853" t="s">
        <v>1</v>
      </c>
      <c r="H719" s="1853" t="s">
        <v>1</v>
      </c>
      <c r="I719" s="1853" t="s">
        <v>725</v>
      </c>
    </row>
    <row r="720" spans="1:9" ht="11.25" customHeight="1">
      <c r="A720" s="1853" t="s">
        <v>2101</v>
      </c>
      <c r="B720" s="1853" t="s">
        <v>0</v>
      </c>
      <c r="C720" s="1853" t="s">
        <v>2994</v>
      </c>
      <c r="D720" s="1853" t="s">
        <v>2995</v>
      </c>
      <c r="E720" s="1853" t="s">
        <v>2996</v>
      </c>
      <c r="F720" s="1853" t="s">
        <v>2230</v>
      </c>
      <c r="G720" s="1853" t="s">
        <v>2857</v>
      </c>
      <c r="H720" s="1853" t="s">
        <v>2997</v>
      </c>
      <c r="I720" s="1853" t="s">
        <v>725</v>
      </c>
    </row>
    <row r="721" spans="1:9" ht="11.25" customHeight="1">
      <c r="A721" s="1853" t="s">
        <v>2101</v>
      </c>
      <c r="B721" s="1853" t="s">
        <v>0</v>
      </c>
      <c r="C721" s="1853" t="s">
        <v>2998</v>
      </c>
      <c r="D721" s="1853" t="s">
        <v>2999</v>
      </c>
      <c r="E721" s="1853" t="s">
        <v>3000</v>
      </c>
      <c r="F721" s="1853" t="s">
        <v>2424</v>
      </c>
      <c r="G721" s="1853" t="s">
        <v>1</v>
      </c>
      <c r="H721" s="1853" t="s">
        <v>1</v>
      </c>
      <c r="I721" s="1853" t="s">
        <v>725</v>
      </c>
    </row>
    <row r="722" spans="1:9" ht="11.25" customHeight="1">
      <c r="A722" s="1853" t="s">
        <v>2101</v>
      </c>
      <c r="B722" s="1853" t="s">
        <v>0</v>
      </c>
      <c r="C722" s="1853" t="s">
        <v>3001</v>
      </c>
      <c r="D722" s="1853" t="s">
        <v>3002</v>
      </c>
      <c r="E722" s="1853" t="s">
        <v>3003</v>
      </c>
      <c r="F722" s="1853" t="s">
        <v>2528</v>
      </c>
      <c r="G722" s="1853" t="s">
        <v>3004</v>
      </c>
      <c r="H722" s="1853" t="s">
        <v>1</v>
      </c>
      <c r="I722" s="1853" t="s">
        <v>725</v>
      </c>
    </row>
    <row r="723" spans="1:9" ht="11.25" customHeight="1">
      <c r="A723" s="1853" t="s">
        <v>2101</v>
      </c>
      <c r="B723" s="1853" t="s">
        <v>0</v>
      </c>
      <c r="C723" s="1853" t="s">
        <v>3009</v>
      </c>
      <c r="D723" s="1853" t="s">
        <v>3010</v>
      </c>
      <c r="E723" s="1853" t="s">
        <v>3011</v>
      </c>
      <c r="F723" s="1853" t="s">
        <v>2424</v>
      </c>
      <c r="G723" s="1853" t="s">
        <v>1</v>
      </c>
      <c r="H723" s="1853" t="s">
        <v>1</v>
      </c>
      <c r="I723" s="1853" t="s">
        <v>725</v>
      </c>
    </row>
    <row r="724" spans="1:9" ht="11.25" customHeight="1">
      <c r="A724" s="1853" t="s">
        <v>2101</v>
      </c>
      <c r="B724" s="1853" t="s">
        <v>0</v>
      </c>
      <c r="C724" s="1853" t="s">
        <v>3012</v>
      </c>
      <c r="D724" s="1853" t="s">
        <v>3013</v>
      </c>
      <c r="E724" s="1853" t="s">
        <v>3014</v>
      </c>
      <c r="F724" s="1853" t="s">
        <v>2424</v>
      </c>
      <c r="G724" s="1853" t="s">
        <v>3015</v>
      </c>
      <c r="H724" s="1853" t="s">
        <v>1</v>
      </c>
      <c r="I724" s="1853" t="s">
        <v>725</v>
      </c>
    </row>
    <row r="725" spans="1:9" ht="11.25" customHeight="1">
      <c r="A725" s="1853" t="s">
        <v>2101</v>
      </c>
      <c r="B725" s="1853" t="s">
        <v>0</v>
      </c>
      <c r="C725" s="1853" t="s">
        <v>3024</v>
      </c>
      <c r="D725" s="1853" t="s">
        <v>3025</v>
      </c>
      <c r="E725" s="1853" t="s">
        <v>3026</v>
      </c>
      <c r="F725" s="1853" t="s">
        <v>2708</v>
      </c>
      <c r="G725" s="1853" t="s">
        <v>3027</v>
      </c>
      <c r="H725" s="1853" t="s">
        <v>1</v>
      </c>
      <c r="I725" s="1853" t="s">
        <v>725</v>
      </c>
    </row>
    <row r="726" spans="1:9" ht="11.25" customHeight="1">
      <c r="A726" s="1853" t="s">
        <v>2101</v>
      </c>
      <c r="B726" s="1853" t="s">
        <v>0</v>
      </c>
      <c r="C726" s="1853" t="s">
        <v>3028</v>
      </c>
      <c r="D726" s="1853" t="s">
        <v>3029</v>
      </c>
      <c r="E726" s="1853" t="s">
        <v>3030</v>
      </c>
      <c r="F726" s="1853" t="s">
        <v>2141</v>
      </c>
      <c r="G726" s="1853" t="s">
        <v>1</v>
      </c>
      <c r="H726" s="1853" t="s">
        <v>1</v>
      </c>
      <c r="I726" s="1853" t="s">
        <v>725</v>
      </c>
    </row>
    <row r="727" spans="1:9" ht="11.25" customHeight="1">
      <c r="A727" s="1853" t="s">
        <v>2101</v>
      </c>
      <c r="B727" s="1853" t="s">
        <v>0</v>
      </c>
      <c r="C727" s="1853" t="s">
        <v>3034</v>
      </c>
      <c r="D727" s="1853" t="s">
        <v>3035</v>
      </c>
      <c r="E727" s="1853" t="s">
        <v>3036</v>
      </c>
      <c r="F727" s="1853" t="s">
        <v>2105</v>
      </c>
      <c r="G727" s="1853" t="s">
        <v>3037</v>
      </c>
      <c r="H727" s="1853" t="s">
        <v>1</v>
      </c>
      <c r="I727" s="1853" t="s">
        <v>725</v>
      </c>
    </row>
    <row r="728" spans="1:9" ht="11.25" customHeight="1">
      <c r="A728" s="1853" t="s">
        <v>2101</v>
      </c>
      <c r="B728" s="1853" t="s">
        <v>0</v>
      </c>
      <c r="C728" s="1853" t="s">
        <v>3038</v>
      </c>
      <c r="D728" s="1853" t="s">
        <v>3039</v>
      </c>
      <c r="E728" s="1853" t="s">
        <v>3040</v>
      </c>
      <c r="F728" s="1853" t="s">
        <v>2141</v>
      </c>
      <c r="G728" s="1853" t="s">
        <v>3041</v>
      </c>
      <c r="H728" s="1853" t="s">
        <v>1</v>
      </c>
      <c r="I728" s="1853" t="s">
        <v>725</v>
      </c>
    </row>
    <row r="729" spans="1:9" ht="11.25" customHeight="1">
      <c r="A729" s="1853" t="s">
        <v>2101</v>
      </c>
      <c r="B729" s="1853" t="s">
        <v>0</v>
      </c>
      <c r="C729" s="1853" t="s">
        <v>3042</v>
      </c>
      <c r="D729" s="1853" t="s">
        <v>3043</v>
      </c>
      <c r="E729" s="1853" t="s">
        <v>3044</v>
      </c>
      <c r="F729" s="1853" t="s">
        <v>2105</v>
      </c>
      <c r="G729" s="1853" t="s">
        <v>3045</v>
      </c>
      <c r="H729" s="1853" t="s">
        <v>1</v>
      </c>
      <c r="I729" s="1853" t="s">
        <v>725</v>
      </c>
    </row>
    <row r="730" spans="1:9" ht="11.25" customHeight="1">
      <c r="A730" s="1853" t="s">
        <v>2101</v>
      </c>
      <c r="B730" s="1853" t="s">
        <v>0</v>
      </c>
      <c r="C730" s="1853" t="s">
        <v>3053</v>
      </c>
      <c r="D730" s="1853" t="s">
        <v>3054</v>
      </c>
      <c r="E730" s="1853" t="s">
        <v>3055</v>
      </c>
      <c r="F730" s="1853" t="s">
        <v>2132</v>
      </c>
      <c r="G730" s="1853" t="s">
        <v>1</v>
      </c>
      <c r="H730" s="1853" t="s">
        <v>1</v>
      </c>
      <c r="I730" s="1853" t="s">
        <v>725</v>
      </c>
    </row>
    <row r="731" spans="1:9" ht="11.25" customHeight="1">
      <c r="A731" s="1853" t="s">
        <v>2101</v>
      </c>
      <c r="B731" s="1853" t="s">
        <v>0</v>
      </c>
      <c r="C731" s="1853" t="s">
        <v>3064</v>
      </c>
      <c r="D731" s="1853" t="s">
        <v>3065</v>
      </c>
      <c r="E731" s="1853" t="s">
        <v>3066</v>
      </c>
      <c r="F731" s="1853" t="s">
        <v>2105</v>
      </c>
      <c r="G731" s="1853" t="s">
        <v>3067</v>
      </c>
      <c r="H731" s="1853" t="s">
        <v>1</v>
      </c>
      <c r="I731" s="1853" t="s">
        <v>725</v>
      </c>
    </row>
    <row r="732" spans="1:9" ht="11.25" customHeight="1">
      <c r="A732" s="1853" t="s">
        <v>2101</v>
      </c>
      <c r="B732" s="1853" t="s">
        <v>0</v>
      </c>
      <c r="C732" s="1853" t="s">
        <v>3068</v>
      </c>
      <c r="D732" s="1853" t="s">
        <v>3069</v>
      </c>
      <c r="E732" s="1853" t="s">
        <v>3070</v>
      </c>
      <c r="F732" s="1853" t="s">
        <v>2187</v>
      </c>
      <c r="G732" s="1853" t="s">
        <v>3071</v>
      </c>
      <c r="H732" s="1853" t="s">
        <v>1</v>
      </c>
      <c r="I732" s="1853" t="s">
        <v>725</v>
      </c>
    </row>
    <row r="733" spans="1:9" ht="11.25" customHeight="1">
      <c r="A733" s="1853" t="s">
        <v>2101</v>
      </c>
      <c r="B733" s="1853" t="s">
        <v>0</v>
      </c>
      <c r="C733" s="1853" t="s">
        <v>3076</v>
      </c>
      <c r="D733" s="1853" t="s">
        <v>3077</v>
      </c>
      <c r="E733" s="1853" t="s">
        <v>3078</v>
      </c>
      <c r="F733" s="1853" t="s">
        <v>3079</v>
      </c>
      <c r="G733" s="1853" t="s">
        <v>3080</v>
      </c>
      <c r="H733" s="1853" t="s">
        <v>1</v>
      </c>
      <c r="I733" s="1853" t="s">
        <v>725</v>
      </c>
    </row>
    <row r="734" spans="1:9" ht="11.25" customHeight="1">
      <c r="A734" s="1853" t="s">
        <v>2101</v>
      </c>
      <c r="B734" s="1853" t="s">
        <v>0</v>
      </c>
      <c r="C734" s="1853" t="s">
        <v>3089</v>
      </c>
      <c r="D734" s="1853" t="s">
        <v>3090</v>
      </c>
      <c r="E734" s="1853" t="s">
        <v>3091</v>
      </c>
      <c r="F734" s="1853" t="s">
        <v>2141</v>
      </c>
      <c r="G734" s="1853" t="s">
        <v>1</v>
      </c>
      <c r="H734" s="1853" t="s">
        <v>1</v>
      </c>
      <c r="I734" s="1853" t="s">
        <v>725</v>
      </c>
    </row>
    <row r="735" spans="1:9" ht="11.25" customHeight="1">
      <c r="A735" s="1853" t="s">
        <v>2101</v>
      </c>
      <c r="B735" s="1853" t="s">
        <v>0</v>
      </c>
      <c r="C735" s="1853" t="s">
        <v>3092</v>
      </c>
      <c r="D735" s="1853" t="s">
        <v>3093</v>
      </c>
      <c r="E735" s="1853" t="s">
        <v>3094</v>
      </c>
      <c r="F735" s="1853" t="s">
        <v>2141</v>
      </c>
      <c r="G735" s="1853" t="s">
        <v>1</v>
      </c>
      <c r="H735" s="1853" t="s">
        <v>1</v>
      </c>
      <c r="I735" s="1853" t="s">
        <v>725</v>
      </c>
    </row>
    <row r="736" spans="1:9" ht="11.25" customHeight="1">
      <c r="A736" s="1853" t="s">
        <v>2101</v>
      </c>
      <c r="B736" s="1853" t="s">
        <v>0</v>
      </c>
      <c r="C736" s="1853" t="s">
        <v>3100</v>
      </c>
      <c r="D736" s="1853" t="s">
        <v>3101</v>
      </c>
      <c r="E736" s="1853" t="s">
        <v>3102</v>
      </c>
      <c r="F736" s="1853" t="s">
        <v>2141</v>
      </c>
      <c r="G736" s="1853" t="s">
        <v>1</v>
      </c>
      <c r="H736" s="1853" t="s">
        <v>1</v>
      </c>
      <c r="I736" s="1853" t="s">
        <v>725</v>
      </c>
    </row>
    <row r="737" spans="1:9" ht="11.25" customHeight="1">
      <c r="A737" s="1853" t="s">
        <v>2101</v>
      </c>
      <c r="B737" s="1853" t="s">
        <v>0</v>
      </c>
      <c r="C737" s="1853" t="s">
        <v>3103</v>
      </c>
      <c r="D737" s="1853" t="s">
        <v>3104</v>
      </c>
      <c r="E737" s="1853" t="s">
        <v>3105</v>
      </c>
      <c r="F737" s="1853" t="s">
        <v>3106</v>
      </c>
      <c r="G737" s="1853" t="s">
        <v>1</v>
      </c>
      <c r="H737" s="1853" t="s">
        <v>1</v>
      </c>
      <c r="I737" s="1853" t="s">
        <v>725</v>
      </c>
    </row>
    <row r="738" spans="1:9" ht="11.25" customHeight="1">
      <c r="A738" s="1853" t="s">
        <v>2101</v>
      </c>
      <c r="B738" s="1853" t="s">
        <v>0</v>
      </c>
      <c r="C738" s="1853" t="s">
        <v>3122</v>
      </c>
      <c r="D738" s="1853" t="s">
        <v>3123</v>
      </c>
      <c r="E738" s="1853" t="s">
        <v>3124</v>
      </c>
      <c r="F738" s="1853" t="s">
        <v>3125</v>
      </c>
      <c r="G738" s="1853" t="s">
        <v>1</v>
      </c>
      <c r="H738" s="1853" t="s">
        <v>1</v>
      </c>
      <c r="I738" s="1853" t="s">
        <v>725</v>
      </c>
    </row>
    <row r="739" spans="1:9" ht="11.25" customHeight="1">
      <c r="A739" s="1853" t="s">
        <v>2101</v>
      </c>
      <c r="B739" s="1853" t="s">
        <v>0</v>
      </c>
      <c r="C739" s="1853" t="s">
        <v>3126</v>
      </c>
      <c r="D739" s="1853" t="s">
        <v>3127</v>
      </c>
      <c r="E739" s="1853" t="s">
        <v>3128</v>
      </c>
      <c r="F739" s="1853" t="s">
        <v>2424</v>
      </c>
      <c r="G739" s="1853" t="s">
        <v>1</v>
      </c>
      <c r="H739" s="1853" t="s">
        <v>1</v>
      </c>
      <c r="I739" s="1853" t="s">
        <v>725</v>
      </c>
    </row>
    <row r="740" spans="1:9" ht="11.25" customHeight="1">
      <c r="A740" s="1853" t="s">
        <v>2101</v>
      </c>
      <c r="B740" s="1853" t="s">
        <v>0</v>
      </c>
      <c r="C740" s="1853" t="s">
        <v>3132</v>
      </c>
      <c r="D740" s="1853" t="s">
        <v>3133</v>
      </c>
      <c r="E740" s="1853" t="s">
        <v>3134</v>
      </c>
      <c r="F740" s="1853" t="s">
        <v>3087</v>
      </c>
      <c r="G740" s="1853" t="s">
        <v>1</v>
      </c>
      <c r="H740" s="1853" t="s">
        <v>1</v>
      </c>
      <c r="I740" s="1853" t="s">
        <v>725</v>
      </c>
    </row>
    <row r="741" spans="1:9" ht="11.25" customHeight="1">
      <c r="A741" s="1853" t="s">
        <v>2101</v>
      </c>
      <c r="B741" s="1853" t="s">
        <v>0</v>
      </c>
      <c r="C741" s="1853" t="s">
        <v>3135</v>
      </c>
      <c r="D741" s="1853" t="s">
        <v>3136</v>
      </c>
      <c r="E741" s="1853" t="s">
        <v>3137</v>
      </c>
      <c r="F741" s="1853" t="s">
        <v>2222</v>
      </c>
      <c r="G741" s="1853" t="s">
        <v>1</v>
      </c>
      <c r="H741" s="1853" t="s">
        <v>1</v>
      </c>
      <c r="I741" s="1853" t="s">
        <v>725</v>
      </c>
    </row>
    <row r="742" spans="1:9" ht="11.25" customHeight="1">
      <c r="A742" s="1853" t="s">
        <v>2101</v>
      </c>
      <c r="B742" s="1853" t="s">
        <v>0</v>
      </c>
      <c r="C742" s="1853" t="s">
        <v>3138</v>
      </c>
      <c r="D742" s="1853" t="s">
        <v>3139</v>
      </c>
      <c r="E742" s="1853" t="s">
        <v>3140</v>
      </c>
      <c r="F742" s="1853" t="s">
        <v>2141</v>
      </c>
      <c r="G742" s="1853" t="s">
        <v>1</v>
      </c>
      <c r="H742" s="1853" t="s">
        <v>1</v>
      </c>
      <c r="I742" s="1853" t="s">
        <v>725</v>
      </c>
    </row>
    <row r="743" spans="1:9" ht="11.25" customHeight="1">
      <c r="A743" s="1853" t="s">
        <v>2101</v>
      </c>
      <c r="B743" s="1853" t="s">
        <v>0</v>
      </c>
      <c r="C743" s="1853" t="s">
        <v>3144</v>
      </c>
      <c r="D743" s="1853" t="s">
        <v>3145</v>
      </c>
      <c r="E743" s="1853" t="s">
        <v>3146</v>
      </c>
      <c r="F743" s="1853" t="s">
        <v>2105</v>
      </c>
      <c r="G743" s="1853" t="s">
        <v>1</v>
      </c>
      <c r="H743" s="1853" t="s">
        <v>1</v>
      </c>
      <c r="I743" s="1853" t="s">
        <v>725</v>
      </c>
    </row>
    <row r="744" spans="1:9" ht="11.25" customHeight="1">
      <c r="A744" s="1853" t="s">
        <v>2101</v>
      </c>
      <c r="B744" s="1853" t="s">
        <v>0</v>
      </c>
      <c r="C744" s="1853" t="s">
        <v>3150</v>
      </c>
      <c r="D744" s="1853" t="s">
        <v>3151</v>
      </c>
      <c r="E744" s="1853" t="s">
        <v>3152</v>
      </c>
      <c r="F744" s="1853" t="s">
        <v>2105</v>
      </c>
      <c r="G744" s="1853" t="s">
        <v>1</v>
      </c>
      <c r="H744" s="1853" t="s">
        <v>1</v>
      </c>
      <c r="I744" s="1853" t="s">
        <v>725</v>
      </c>
    </row>
    <row r="745" spans="1:9" ht="11.25" customHeight="1">
      <c r="A745" s="1853" t="s">
        <v>2101</v>
      </c>
      <c r="B745" s="1853" t="s">
        <v>0</v>
      </c>
      <c r="C745" s="1853" t="s">
        <v>3164</v>
      </c>
      <c r="D745" s="1853" t="s">
        <v>3165</v>
      </c>
      <c r="E745" s="1853" t="s">
        <v>3166</v>
      </c>
      <c r="F745" s="1853" t="s">
        <v>2178</v>
      </c>
      <c r="G745" s="1853" t="s">
        <v>1</v>
      </c>
      <c r="H745" s="1853" t="s">
        <v>1</v>
      </c>
      <c r="I745" s="1853" t="s">
        <v>725</v>
      </c>
    </row>
    <row r="746" spans="1:9" ht="11.25" customHeight="1">
      <c r="A746" s="1853" t="s">
        <v>2101</v>
      </c>
      <c r="B746" s="1853" t="s">
        <v>0</v>
      </c>
      <c r="C746" s="1853" t="s">
        <v>3170</v>
      </c>
      <c r="D746" s="1853" t="s">
        <v>3171</v>
      </c>
      <c r="E746" s="1853" t="s">
        <v>3172</v>
      </c>
      <c r="F746" s="1853" t="s">
        <v>3173</v>
      </c>
      <c r="G746" s="1853" t="s">
        <v>1</v>
      </c>
      <c r="H746" s="1853" t="s">
        <v>1</v>
      </c>
      <c r="I746" s="1853" t="s">
        <v>725</v>
      </c>
    </row>
    <row r="747" spans="1:9" ht="11.25" customHeight="1">
      <c r="A747" s="1853" t="s">
        <v>2101</v>
      </c>
      <c r="B747" s="1853" t="s">
        <v>0</v>
      </c>
      <c r="C747" s="1853" t="s">
        <v>3177</v>
      </c>
      <c r="D747" s="1853" t="s">
        <v>3178</v>
      </c>
      <c r="E747" s="1853" t="s">
        <v>3179</v>
      </c>
      <c r="F747" s="1853" t="s">
        <v>3180</v>
      </c>
      <c r="G747" s="1853" t="s">
        <v>1</v>
      </c>
      <c r="H747" s="1853" t="s">
        <v>1</v>
      </c>
      <c r="I747" s="1853" t="s">
        <v>725</v>
      </c>
    </row>
    <row r="748" spans="1:9" ht="11.25" customHeight="1">
      <c r="A748" s="1853" t="s">
        <v>2101</v>
      </c>
      <c r="B748" s="1853" t="s">
        <v>0</v>
      </c>
      <c r="C748" s="1853" t="s">
        <v>3191</v>
      </c>
      <c r="D748" s="1853" t="s">
        <v>3192</v>
      </c>
      <c r="E748" s="1853" t="s">
        <v>3193</v>
      </c>
      <c r="F748" s="1853" t="s">
        <v>2230</v>
      </c>
      <c r="G748" s="1853" t="s">
        <v>1</v>
      </c>
      <c r="H748" s="1853" t="s">
        <v>1</v>
      </c>
      <c r="I748" s="1853" t="s">
        <v>725</v>
      </c>
    </row>
    <row r="749" spans="1:9" ht="11.25" customHeight="1">
      <c r="A749" s="1853" t="s">
        <v>2101</v>
      </c>
      <c r="B749" s="1853" t="s">
        <v>0</v>
      </c>
      <c r="C749" s="1853" t="s">
        <v>3209</v>
      </c>
      <c r="D749" s="1853" t="s">
        <v>3210</v>
      </c>
      <c r="E749" s="1853" t="s">
        <v>3211</v>
      </c>
      <c r="F749" s="1853" t="s">
        <v>2105</v>
      </c>
      <c r="G749" s="1853" t="s">
        <v>1</v>
      </c>
      <c r="H749" s="1853" t="s">
        <v>1</v>
      </c>
      <c r="I749" s="1853" t="s">
        <v>725</v>
      </c>
    </row>
    <row r="750" spans="1:9" ht="11.25" customHeight="1">
      <c r="A750" s="1853" t="s">
        <v>2101</v>
      </c>
      <c r="B750" s="1853" t="s">
        <v>0</v>
      </c>
      <c r="C750" s="1853" t="s">
        <v>3215</v>
      </c>
      <c r="D750" s="1853" t="s">
        <v>3216</v>
      </c>
      <c r="E750" s="1853" t="s">
        <v>3217</v>
      </c>
      <c r="F750" s="1853" t="s">
        <v>2159</v>
      </c>
      <c r="G750" s="1853" t="s">
        <v>1</v>
      </c>
      <c r="H750" s="1853" t="s">
        <v>1</v>
      </c>
      <c r="I750" s="1853" t="s">
        <v>725</v>
      </c>
    </row>
    <row r="751" spans="1:9" ht="11.25" customHeight="1">
      <c r="A751" s="1853" t="s">
        <v>2101</v>
      </c>
      <c r="B751" s="1853" t="s">
        <v>0</v>
      </c>
      <c r="C751" s="1853" t="s">
        <v>3232</v>
      </c>
      <c r="D751" s="1853" t="s">
        <v>3233</v>
      </c>
      <c r="E751" s="1853" t="s">
        <v>3234</v>
      </c>
      <c r="F751" s="1853" t="s">
        <v>2416</v>
      </c>
      <c r="G751" s="1853" t="s">
        <v>1</v>
      </c>
      <c r="H751" s="1853" t="s">
        <v>1</v>
      </c>
      <c r="I751" s="1853" t="s">
        <v>725</v>
      </c>
    </row>
    <row r="752" spans="1:9" ht="11.25" customHeight="1">
      <c r="A752" s="1853" t="s">
        <v>2101</v>
      </c>
      <c r="B752" s="1853" t="s">
        <v>0</v>
      </c>
      <c r="C752" s="1853" t="s">
        <v>3244</v>
      </c>
      <c r="D752" s="1853" t="s">
        <v>3245</v>
      </c>
      <c r="E752" s="1853" t="s">
        <v>3246</v>
      </c>
      <c r="F752" s="1853" t="s">
        <v>2416</v>
      </c>
      <c r="G752" s="1853" t="s">
        <v>1</v>
      </c>
      <c r="H752" s="1853" t="s">
        <v>1</v>
      </c>
      <c r="I752" s="1853" t="s">
        <v>725</v>
      </c>
    </row>
    <row r="753" spans="1:9" ht="11.25" customHeight="1">
      <c r="A753" s="1853" t="s">
        <v>2101</v>
      </c>
      <c r="B753" s="1853" t="s">
        <v>0</v>
      </c>
      <c r="C753" s="1853" t="s">
        <v>3247</v>
      </c>
      <c r="D753" s="1853" t="s">
        <v>3248</v>
      </c>
      <c r="E753" s="1853" t="s">
        <v>3249</v>
      </c>
      <c r="F753" s="1853" t="s">
        <v>12</v>
      </c>
      <c r="G753" s="1853" t="s">
        <v>1</v>
      </c>
      <c r="H753" s="1853" t="s">
        <v>1</v>
      </c>
      <c r="I753" s="1853" t="s">
        <v>725</v>
      </c>
    </row>
    <row r="754" spans="1:9" ht="11.25" customHeight="1">
      <c r="A754" s="1853" t="s">
        <v>2101</v>
      </c>
      <c r="B754" s="1853" t="s">
        <v>0</v>
      </c>
      <c r="C754" s="1853" t="s">
        <v>4186</v>
      </c>
      <c r="D754" s="1853" t="s">
        <v>4187</v>
      </c>
      <c r="E754" s="1853" t="s">
        <v>4188</v>
      </c>
      <c r="F754" s="1853" t="s">
        <v>2230</v>
      </c>
      <c r="G754" s="1853" t="s">
        <v>1</v>
      </c>
      <c r="H754" s="1853" t="s">
        <v>1</v>
      </c>
      <c r="I754" s="1853" t="s">
        <v>725</v>
      </c>
    </row>
    <row r="755" spans="1:9" ht="11.25" customHeight="1">
      <c r="A755" s="1853" t="s">
        <v>2101</v>
      </c>
      <c r="B755" s="1853" t="s">
        <v>0</v>
      </c>
      <c r="C755" s="1853" t="s">
        <v>3253</v>
      </c>
      <c r="D755" s="1853" t="s">
        <v>3254</v>
      </c>
      <c r="E755" s="1853" t="s">
        <v>3255</v>
      </c>
      <c r="F755" s="1853" t="s">
        <v>2141</v>
      </c>
      <c r="G755" s="1853" t="s">
        <v>1</v>
      </c>
      <c r="H755" s="1853" t="s">
        <v>1</v>
      </c>
      <c r="I755" s="1853" t="s">
        <v>725</v>
      </c>
    </row>
    <row r="756" spans="1:9" ht="11.25" customHeight="1">
      <c r="A756" s="1853" t="s">
        <v>2101</v>
      </c>
      <c r="B756" s="1853" t="s">
        <v>0</v>
      </c>
      <c r="C756" s="1853" t="s">
        <v>3280</v>
      </c>
      <c r="D756" s="1853" t="s">
        <v>3281</v>
      </c>
      <c r="E756" s="1853" t="s">
        <v>3282</v>
      </c>
      <c r="F756" s="1853" t="s">
        <v>3283</v>
      </c>
      <c r="G756" s="1853" t="s">
        <v>1</v>
      </c>
      <c r="H756" s="1853" t="s">
        <v>1</v>
      </c>
      <c r="I756" s="1853" t="s">
        <v>725</v>
      </c>
    </row>
    <row r="757" spans="1:9" ht="11.25" customHeight="1">
      <c r="A757" s="1853" t="s">
        <v>2101</v>
      </c>
      <c r="B757" s="1853" t="s">
        <v>0</v>
      </c>
      <c r="C757" s="1853" t="s">
        <v>3298</v>
      </c>
      <c r="D757" s="1853" t="s">
        <v>3299</v>
      </c>
      <c r="E757" s="1853" t="s">
        <v>3300</v>
      </c>
      <c r="F757" s="1853" t="s">
        <v>2105</v>
      </c>
      <c r="G757" s="1853" t="s">
        <v>1</v>
      </c>
      <c r="H757" s="1853" t="s">
        <v>1</v>
      </c>
      <c r="I757" s="1853" t="s">
        <v>725</v>
      </c>
    </row>
    <row r="758" spans="1:9" ht="11.25" customHeight="1">
      <c r="A758" s="1853" t="s">
        <v>2101</v>
      </c>
      <c r="B758" s="1853" t="s">
        <v>0</v>
      </c>
      <c r="C758" s="1853" t="s">
        <v>3304</v>
      </c>
      <c r="D758" s="1853" t="s">
        <v>3305</v>
      </c>
      <c r="E758" s="1853" t="s">
        <v>3306</v>
      </c>
      <c r="F758" s="1853" t="s">
        <v>2105</v>
      </c>
      <c r="G758" s="1853" t="s">
        <v>1</v>
      </c>
      <c r="H758" s="1853" t="s">
        <v>1</v>
      </c>
      <c r="I758" s="1853" t="s">
        <v>725</v>
      </c>
    </row>
    <row r="759" spans="1:9" ht="11.25" customHeight="1">
      <c r="A759" s="1853" t="s">
        <v>2101</v>
      </c>
      <c r="B759" s="1853" t="s">
        <v>0</v>
      </c>
      <c r="C759" s="1853" t="s">
        <v>3307</v>
      </c>
      <c r="D759" s="1853" t="s">
        <v>3308</v>
      </c>
      <c r="E759" s="1853" t="s">
        <v>3309</v>
      </c>
      <c r="F759" s="1853" t="s">
        <v>12</v>
      </c>
      <c r="G759" s="1853" t="s">
        <v>1</v>
      </c>
      <c r="H759" s="1853" t="s">
        <v>1</v>
      </c>
      <c r="I759" s="1853" t="s">
        <v>725</v>
      </c>
    </row>
    <row r="760" spans="1:9" ht="11.25" customHeight="1">
      <c r="A760" s="1853" t="s">
        <v>2101</v>
      </c>
      <c r="B760" s="1853" t="s">
        <v>0</v>
      </c>
      <c r="C760" s="1853" t="s">
        <v>3310</v>
      </c>
      <c r="D760" s="1853" t="s">
        <v>3311</v>
      </c>
      <c r="E760" s="1853" t="s">
        <v>3312</v>
      </c>
      <c r="F760" s="1853" t="s">
        <v>2159</v>
      </c>
      <c r="G760" s="1853" t="s">
        <v>1</v>
      </c>
      <c r="H760" s="1853" t="s">
        <v>1</v>
      </c>
      <c r="I760" s="1853" t="s">
        <v>725</v>
      </c>
    </row>
    <row r="761" spans="1:9" ht="11.25" customHeight="1">
      <c r="A761" s="1853" t="s">
        <v>2101</v>
      </c>
      <c r="B761" s="1853" t="s">
        <v>0</v>
      </c>
      <c r="C761" s="1853" t="s">
        <v>3316</v>
      </c>
      <c r="D761" s="1853" t="s">
        <v>3317</v>
      </c>
      <c r="E761" s="1853" t="s">
        <v>3166</v>
      </c>
      <c r="F761" s="1853" t="s">
        <v>2329</v>
      </c>
      <c r="G761" s="1853" t="s">
        <v>1</v>
      </c>
      <c r="H761" s="1853" t="s">
        <v>1</v>
      </c>
      <c r="I761" s="1853" t="s">
        <v>725</v>
      </c>
    </row>
    <row r="762" spans="1:9" ht="11.25" customHeight="1">
      <c r="A762" s="1853" t="s">
        <v>2101</v>
      </c>
      <c r="B762" s="1853" t="s">
        <v>0</v>
      </c>
      <c r="C762" s="1853" t="s">
        <v>3324</v>
      </c>
      <c r="D762" s="1853" t="s">
        <v>3325</v>
      </c>
      <c r="E762" s="1853" t="s">
        <v>3326</v>
      </c>
      <c r="F762" s="1853" t="s">
        <v>2149</v>
      </c>
      <c r="G762" s="1853" t="s">
        <v>1</v>
      </c>
      <c r="H762" s="1853" t="s">
        <v>1</v>
      </c>
      <c r="I762" s="1853" t="s">
        <v>725</v>
      </c>
    </row>
    <row r="763" spans="1:9" ht="11.25" customHeight="1">
      <c r="A763" s="1853" t="s">
        <v>2101</v>
      </c>
      <c r="B763" s="1853" t="s">
        <v>0</v>
      </c>
      <c r="C763" s="1853" t="s">
        <v>3336</v>
      </c>
      <c r="D763" s="1853" t="s">
        <v>3337</v>
      </c>
      <c r="E763" s="1853" t="s">
        <v>3338</v>
      </c>
      <c r="F763" s="1853" t="s">
        <v>2149</v>
      </c>
      <c r="G763" s="1853" t="s">
        <v>1</v>
      </c>
      <c r="H763" s="1853" t="s">
        <v>1</v>
      </c>
      <c r="I763" s="1853" t="s">
        <v>725</v>
      </c>
    </row>
    <row r="764" spans="1:9" ht="11.25" customHeight="1">
      <c r="A764" s="1853" t="s">
        <v>2101</v>
      </c>
      <c r="B764" s="1853" t="s">
        <v>0</v>
      </c>
      <c r="C764" s="1853" t="s">
        <v>3345</v>
      </c>
      <c r="D764" s="1853" t="s">
        <v>3346</v>
      </c>
      <c r="E764" s="1853" t="s">
        <v>2113</v>
      </c>
      <c r="F764" s="1853" t="s">
        <v>2308</v>
      </c>
      <c r="G764" s="1853" t="s">
        <v>1</v>
      </c>
      <c r="H764" s="1853" t="s">
        <v>1</v>
      </c>
      <c r="I764" s="1853" t="s">
        <v>725</v>
      </c>
    </row>
    <row r="765" spans="1:9" ht="11.25" customHeight="1">
      <c r="A765" s="1853" t="s">
        <v>2101</v>
      </c>
      <c r="B765" s="1853" t="s">
        <v>0</v>
      </c>
      <c r="C765" s="1853" t="s">
        <v>3347</v>
      </c>
      <c r="D765" s="1853" t="s">
        <v>3348</v>
      </c>
      <c r="E765" s="1853" t="s">
        <v>2247</v>
      </c>
      <c r="F765" s="1853" t="s">
        <v>3349</v>
      </c>
      <c r="G765" s="1853" t="s">
        <v>2251</v>
      </c>
      <c r="H765" s="1853" t="s">
        <v>1</v>
      </c>
      <c r="I765" s="1853" t="s">
        <v>725</v>
      </c>
    </row>
    <row r="766" spans="1:9" ht="11.25" customHeight="1">
      <c r="A766" s="1853" t="s">
        <v>2101</v>
      </c>
      <c r="B766" s="1853" t="s">
        <v>0</v>
      </c>
      <c r="C766" s="1853" t="s">
        <v>3388</v>
      </c>
      <c r="D766" s="1853" t="s">
        <v>3389</v>
      </c>
      <c r="E766" s="1853" t="s">
        <v>3390</v>
      </c>
      <c r="F766" s="1853" t="s">
        <v>12</v>
      </c>
      <c r="G766" s="1853" t="s">
        <v>1</v>
      </c>
      <c r="H766" s="1853" t="s">
        <v>1</v>
      </c>
      <c r="I766" s="1853" t="s">
        <v>725</v>
      </c>
    </row>
    <row r="767" spans="1:9" ht="11.25" customHeight="1">
      <c r="A767" s="1853" t="s">
        <v>2101</v>
      </c>
      <c r="B767" s="1853" t="s">
        <v>0</v>
      </c>
      <c r="C767" s="1853" t="s">
        <v>3413</v>
      </c>
      <c r="D767" s="1853" t="s">
        <v>3414</v>
      </c>
      <c r="E767" s="1853" t="s">
        <v>3415</v>
      </c>
      <c r="F767" s="1853" t="s">
        <v>2222</v>
      </c>
      <c r="G767" s="1853" t="s">
        <v>1</v>
      </c>
      <c r="H767" s="1853" t="s">
        <v>1</v>
      </c>
      <c r="I767" s="1853" t="s">
        <v>725</v>
      </c>
    </row>
    <row r="768" spans="1:9" ht="11.25" customHeight="1">
      <c r="A768" s="1853" t="s">
        <v>2101</v>
      </c>
      <c r="B768" s="1853" t="s">
        <v>0</v>
      </c>
      <c r="C768" s="1853" t="s">
        <v>3416</v>
      </c>
      <c r="D768" s="1853" t="s">
        <v>3417</v>
      </c>
      <c r="E768" s="1853" t="s">
        <v>3418</v>
      </c>
      <c r="F768" s="1853" t="s">
        <v>12</v>
      </c>
      <c r="G768" s="1853" t="s">
        <v>1</v>
      </c>
      <c r="H768" s="1853" t="s">
        <v>1</v>
      </c>
      <c r="I768" s="1853" t="s">
        <v>725</v>
      </c>
    </row>
    <row r="769" spans="1:9" ht="11.25" customHeight="1">
      <c r="A769" s="1853" t="s">
        <v>2101</v>
      </c>
      <c r="B769" s="1853" t="s">
        <v>0</v>
      </c>
      <c r="C769" s="1853" t="s">
        <v>3430</v>
      </c>
      <c r="D769" s="1853" t="s">
        <v>3431</v>
      </c>
      <c r="E769" s="1853" t="s">
        <v>3432</v>
      </c>
      <c r="F769" s="1853" t="s">
        <v>3433</v>
      </c>
      <c r="G769" s="1853" t="s">
        <v>1</v>
      </c>
      <c r="H769" s="1853" t="s">
        <v>1</v>
      </c>
      <c r="I769" s="1853" t="s">
        <v>725</v>
      </c>
    </row>
    <row r="770" spans="1:9" ht="11.25" customHeight="1">
      <c r="A770" s="1853" t="s">
        <v>2101</v>
      </c>
      <c r="B770" s="1853" t="s">
        <v>0</v>
      </c>
      <c r="C770" s="1853" t="s">
        <v>3445</v>
      </c>
      <c r="D770" s="1853" t="s">
        <v>3446</v>
      </c>
      <c r="E770" s="1853" t="s">
        <v>3432</v>
      </c>
      <c r="F770" s="1853" t="s">
        <v>3447</v>
      </c>
      <c r="G770" s="1853" t="s">
        <v>1</v>
      </c>
      <c r="H770" s="1853" t="s">
        <v>1</v>
      </c>
      <c r="I770" s="1853" t="s">
        <v>725</v>
      </c>
    </row>
    <row r="771" spans="1:9" ht="11.25" customHeight="1">
      <c r="A771" s="1853" t="s">
        <v>2101</v>
      </c>
      <c r="B771" s="1853" t="s">
        <v>0</v>
      </c>
      <c r="C771" s="1853" t="s">
        <v>3467</v>
      </c>
      <c r="D771" s="1853" t="s">
        <v>3468</v>
      </c>
      <c r="E771" s="1853" t="s">
        <v>3465</v>
      </c>
      <c r="F771" s="1853" t="s">
        <v>3469</v>
      </c>
      <c r="G771" s="1853" t="s">
        <v>3466</v>
      </c>
      <c r="H771" s="1853" t="s">
        <v>1</v>
      </c>
      <c r="I771" s="1853" t="s">
        <v>725</v>
      </c>
    </row>
    <row r="772" spans="1:9" ht="11.25" customHeight="1">
      <c r="A772" s="1853" t="s">
        <v>2101</v>
      </c>
      <c r="B772" s="1853" t="s">
        <v>0</v>
      </c>
      <c r="C772" s="1853" t="s">
        <v>3476</v>
      </c>
      <c r="D772" s="1853" t="s">
        <v>3477</v>
      </c>
      <c r="E772" s="1853" t="s">
        <v>3478</v>
      </c>
      <c r="F772" s="1853" t="s">
        <v>2196</v>
      </c>
      <c r="G772" s="1853" t="s">
        <v>3479</v>
      </c>
      <c r="H772" s="1853" t="s">
        <v>1</v>
      </c>
      <c r="I772" s="1853" t="s">
        <v>725</v>
      </c>
    </row>
    <row r="773" spans="1:9" ht="11.25" customHeight="1">
      <c r="A773" s="1853" t="s">
        <v>2101</v>
      </c>
      <c r="B773" s="1853" t="s">
        <v>0</v>
      </c>
      <c r="C773" s="1853" t="s">
        <v>3483</v>
      </c>
      <c r="D773" s="1853" t="s">
        <v>3484</v>
      </c>
      <c r="E773" s="1853" t="s">
        <v>3485</v>
      </c>
      <c r="F773" s="1853" t="s">
        <v>3486</v>
      </c>
      <c r="G773" s="1853" t="s">
        <v>1</v>
      </c>
      <c r="H773" s="1853" t="s">
        <v>1</v>
      </c>
      <c r="I773" s="1853" t="s">
        <v>725</v>
      </c>
    </row>
    <row r="774" spans="1:9" ht="11.25" customHeight="1">
      <c r="A774" s="1853" t="s">
        <v>2101</v>
      </c>
      <c r="B774" s="1853" t="s">
        <v>0</v>
      </c>
      <c r="C774" s="1853" t="s">
        <v>3508</v>
      </c>
      <c r="D774" s="1853" t="s">
        <v>3509</v>
      </c>
      <c r="E774" s="1853" t="s">
        <v>3510</v>
      </c>
      <c r="F774" s="1853" t="s">
        <v>2196</v>
      </c>
      <c r="G774" s="1853" t="s">
        <v>1</v>
      </c>
      <c r="H774" s="1853" t="s">
        <v>1</v>
      </c>
      <c r="I774" s="1853" t="s">
        <v>725</v>
      </c>
    </row>
    <row r="775" spans="1:9" ht="11.25" customHeight="1">
      <c r="A775" s="1853" t="s">
        <v>2101</v>
      </c>
      <c r="B775" s="1853" t="s">
        <v>0</v>
      </c>
      <c r="C775" s="1853" t="s">
        <v>3525</v>
      </c>
      <c r="D775" s="1853" t="s">
        <v>3526</v>
      </c>
      <c r="E775" s="1853" t="s">
        <v>3527</v>
      </c>
      <c r="F775" s="1853" t="s">
        <v>2105</v>
      </c>
      <c r="G775" s="1853" t="s">
        <v>1</v>
      </c>
      <c r="H775" s="1853" t="s">
        <v>1</v>
      </c>
      <c r="I775" s="1853" t="s">
        <v>725</v>
      </c>
    </row>
    <row r="776" spans="1:9" ht="11.25" customHeight="1">
      <c r="A776" s="1853" t="s">
        <v>2101</v>
      </c>
      <c r="B776" s="1853" t="s">
        <v>0</v>
      </c>
      <c r="C776" s="1853" t="s">
        <v>3528</v>
      </c>
      <c r="D776" s="1853" t="s">
        <v>3529</v>
      </c>
      <c r="E776" s="1853" t="s">
        <v>3530</v>
      </c>
      <c r="F776" s="1853" t="s">
        <v>2230</v>
      </c>
      <c r="G776" s="1853" t="s">
        <v>3531</v>
      </c>
      <c r="H776" s="1853" t="s">
        <v>1</v>
      </c>
      <c r="I776" s="1853" t="s">
        <v>725</v>
      </c>
    </row>
    <row r="777" spans="1:9" ht="11.25" customHeight="1">
      <c r="A777" s="1853" t="s">
        <v>2101</v>
      </c>
      <c r="B777" s="1853" t="s">
        <v>0</v>
      </c>
      <c r="C777" s="1853" t="s">
        <v>3546</v>
      </c>
      <c r="D777" s="1853" t="s">
        <v>3547</v>
      </c>
      <c r="E777" s="1853" t="s">
        <v>3548</v>
      </c>
      <c r="F777" s="1853" t="s">
        <v>12</v>
      </c>
      <c r="G777" s="1853" t="s">
        <v>1</v>
      </c>
      <c r="H777" s="1853" t="s">
        <v>1</v>
      </c>
      <c r="I777" s="1853" t="s">
        <v>725</v>
      </c>
    </row>
    <row r="778" spans="1:9" ht="11.25" customHeight="1">
      <c r="A778" s="1853" t="s">
        <v>2101</v>
      </c>
      <c r="B778" s="1853" t="s">
        <v>0</v>
      </c>
      <c r="C778" s="1853" t="s">
        <v>3571</v>
      </c>
      <c r="D778" s="1853" t="s">
        <v>3572</v>
      </c>
      <c r="E778" s="1853" t="s">
        <v>3573</v>
      </c>
      <c r="F778" s="1853" t="s">
        <v>2222</v>
      </c>
      <c r="G778" s="1853" t="s">
        <v>3574</v>
      </c>
      <c r="H778" s="1853" t="s">
        <v>1</v>
      </c>
      <c r="I778" s="1853" t="s">
        <v>725</v>
      </c>
    </row>
    <row r="779" spans="1:9" ht="11.25" customHeight="1">
      <c r="A779" s="1853" t="s">
        <v>2101</v>
      </c>
      <c r="B779" s="1853" t="s">
        <v>0</v>
      </c>
      <c r="C779" s="1853" t="s">
        <v>3583</v>
      </c>
      <c r="D779" s="1853" t="s">
        <v>3584</v>
      </c>
      <c r="E779" s="1853" t="s">
        <v>3585</v>
      </c>
      <c r="F779" s="1853" t="s">
        <v>2178</v>
      </c>
      <c r="G779" s="1853" t="s">
        <v>1</v>
      </c>
      <c r="H779" s="1853" t="s">
        <v>1</v>
      </c>
      <c r="I779" s="1853" t="s">
        <v>725</v>
      </c>
    </row>
    <row r="780" spans="1:9" ht="11.25" customHeight="1">
      <c r="A780" s="1853" t="s">
        <v>2101</v>
      </c>
      <c r="B780" s="1853" t="s">
        <v>0</v>
      </c>
      <c r="C780" s="1853" t="s">
        <v>3620</v>
      </c>
      <c r="D780" s="1853" t="s">
        <v>3621</v>
      </c>
      <c r="E780" s="1853" t="s">
        <v>3622</v>
      </c>
      <c r="F780" s="1853" t="s">
        <v>2230</v>
      </c>
      <c r="G780" s="1853" t="s">
        <v>1</v>
      </c>
      <c r="H780" s="1853" t="s">
        <v>1</v>
      </c>
      <c r="I780" s="1853" t="s">
        <v>725</v>
      </c>
    </row>
    <row r="781" spans="1:9" ht="11.25" customHeight="1">
      <c r="A781" s="1853" t="s">
        <v>2101</v>
      </c>
      <c r="B781" s="1853" t="s">
        <v>0</v>
      </c>
      <c r="C781" s="1853" t="s">
        <v>3623</v>
      </c>
      <c r="D781" s="1853" t="s">
        <v>3624</v>
      </c>
      <c r="E781" s="1853" t="s">
        <v>3625</v>
      </c>
      <c r="F781" s="1853" t="s">
        <v>2141</v>
      </c>
      <c r="G781" s="1853" t="s">
        <v>1</v>
      </c>
      <c r="H781" s="1853" t="s">
        <v>1</v>
      </c>
      <c r="I781" s="1853" t="s">
        <v>725</v>
      </c>
    </row>
    <row r="782" spans="1:9" ht="11.25" customHeight="1">
      <c r="A782" s="1853" t="s">
        <v>2101</v>
      </c>
      <c r="B782" s="1853" t="s">
        <v>0</v>
      </c>
      <c r="C782" s="1853" t="s">
        <v>3626</v>
      </c>
      <c r="D782" s="1853" t="s">
        <v>3627</v>
      </c>
      <c r="E782" s="1853" t="s">
        <v>3628</v>
      </c>
      <c r="F782" s="1853" t="s">
        <v>3501</v>
      </c>
      <c r="G782" s="1853" t="s">
        <v>3629</v>
      </c>
      <c r="H782" s="1853" t="s">
        <v>3630</v>
      </c>
      <c r="I782" s="1853" t="s">
        <v>725</v>
      </c>
    </row>
    <row r="783" spans="1:9" ht="11.25" customHeight="1">
      <c r="A783" s="1853" t="s">
        <v>2101</v>
      </c>
      <c r="B783" s="1853" t="s">
        <v>0</v>
      </c>
      <c r="C783" s="1853" t="s">
        <v>3631</v>
      </c>
      <c r="D783" s="1853" t="s">
        <v>3632</v>
      </c>
      <c r="E783" s="1853" t="s">
        <v>3633</v>
      </c>
      <c r="F783" s="1853" t="s">
        <v>2141</v>
      </c>
      <c r="G783" s="1853" t="s">
        <v>3634</v>
      </c>
      <c r="H783" s="1853" t="s">
        <v>1</v>
      </c>
      <c r="I783" s="1853" t="s">
        <v>725</v>
      </c>
    </row>
    <row r="784" spans="1:9" ht="11.25" customHeight="1">
      <c r="A784" s="1853" t="s">
        <v>2101</v>
      </c>
      <c r="B784" s="1853" t="s">
        <v>0</v>
      </c>
      <c r="C784" s="1853" t="s">
        <v>3658</v>
      </c>
      <c r="D784" s="1853" t="s">
        <v>3659</v>
      </c>
      <c r="E784" s="1853" t="s">
        <v>3660</v>
      </c>
      <c r="F784" s="1853" t="s">
        <v>2222</v>
      </c>
      <c r="G784" s="1853" t="s">
        <v>1</v>
      </c>
      <c r="H784" s="1853" t="s">
        <v>1</v>
      </c>
      <c r="I784" s="1853" t="s">
        <v>725</v>
      </c>
    </row>
    <row r="785" spans="1:9" ht="11.25" customHeight="1">
      <c r="A785" s="1853" t="s">
        <v>2101</v>
      </c>
      <c r="B785" s="1853" t="s">
        <v>0</v>
      </c>
      <c r="C785" s="1853" t="s">
        <v>3661</v>
      </c>
      <c r="D785" s="1853" t="s">
        <v>3662</v>
      </c>
      <c r="E785" s="1853" t="s">
        <v>3663</v>
      </c>
      <c r="F785" s="1853" t="s">
        <v>2191</v>
      </c>
      <c r="G785" s="1853" t="s">
        <v>2795</v>
      </c>
      <c r="H785" s="1853" t="s">
        <v>1</v>
      </c>
      <c r="I785" s="1853" t="s">
        <v>725</v>
      </c>
    </row>
    <row r="786" spans="1:9" ht="11.25" customHeight="1">
      <c r="A786" s="1853" t="s">
        <v>2101</v>
      </c>
      <c r="B786" s="1853" t="s">
        <v>0</v>
      </c>
      <c r="C786" s="1853" t="s">
        <v>3664</v>
      </c>
      <c r="D786" s="1853" t="s">
        <v>3665</v>
      </c>
      <c r="E786" s="1853" t="s">
        <v>3666</v>
      </c>
      <c r="F786" s="1853" t="s">
        <v>3087</v>
      </c>
      <c r="G786" s="1853" t="s">
        <v>3667</v>
      </c>
      <c r="H786" s="1853" t="s">
        <v>1</v>
      </c>
      <c r="I786" s="1853" t="s">
        <v>725</v>
      </c>
    </row>
    <row r="787" spans="1:9" ht="11.25" customHeight="1">
      <c r="A787" s="1853" t="s">
        <v>2101</v>
      </c>
      <c r="B787" s="1853" t="s">
        <v>0</v>
      </c>
      <c r="C787" s="1853" t="s">
        <v>3683</v>
      </c>
      <c r="D787" s="1853" t="s">
        <v>3684</v>
      </c>
      <c r="E787" s="1853" t="s">
        <v>3685</v>
      </c>
      <c r="F787" s="1853" t="s">
        <v>12</v>
      </c>
      <c r="G787" s="1853" t="s">
        <v>3686</v>
      </c>
      <c r="H787" s="1853" t="s">
        <v>1</v>
      </c>
      <c r="I787" s="1853" t="s">
        <v>725</v>
      </c>
    </row>
    <row r="788" spans="1:9" ht="11.25" customHeight="1">
      <c r="A788" s="1853" t="s">
        <v>2101</v>
      </c>
      <c r="B788" s="1853" t="s">
        <v>0</v>
      </c>
      <c r="C788" s="1853" t="s">
        <v>3687</v>
      </c>
      <c r="D788" s="1853" t="s">
        <v>3688</v>
      </c>
      <c r="E788" s="1853" t="s">
        <v>3689</v>
      </c>
      <c r="F788" s="1853" t="s">
        <v>2568</v>
      </c>
      <c r="G788" s="1853" t="s">
        <v>1</v>
      </c>
      <c r="H788" s="1853" t="s">
        <v>1</v>
      </c>
      <c r="I788" s="1853" t="s">
        <v>725</v>
      </c>
    </row>
    <row r="789" spans="1:9" ht="11.25" customHeight="1">
      <c r="A789" s="1853" t="s">
        <v>2101</v>
      </c>
      <c r="B789" s="1853" t="s">
        <v>0</v>
      </c>
      <c r="C789" s="1853" t="s">
        <v>3702</v>
      </c>
      <c r="D789" s="1853" t="s">
        <v>3703</v>
      </c>
      <c r="E789" s="1853" t="s">
        <v>3704</v>
      </c>
      <c r="F789" s="1853" t="s">
        <v>2141</v>
      </c>
      <c r="G789" s="1853" t="s">
        <v>3705</v>
      </c>
      <c r="H789" s="1853" t="s">
        <v>1</v>
      </c>
      <c r="I789" s="1853" t="s">
        <v>725</v>
      </c>
    </row>
    <row r="790" spans="1:9" ht="11.25" customHeight="1">
      <c r="A790" s="1853" t="s">
        <v>2101</v>
      </c>
      <c r="B790" s="1853" t="s">
        <v>0</v>
      </c>
      <c r="C790" s="1853" t="s">
        <v>3706</v>
      </c>
      <c r="D790" s="1853" t="s">
        <v>3707</v>
      </c>
      <c r="E790" s="1853" t="s">
        <v>3708</v>
      </c>
      <c r="F790" s="1853" t="s">
        <v>2424</v>
      </c>
      <c r="G790" s="1853" t="s">
        <v>3709</v>
      </c>
      <c r="H790" s="1853" t="s">
        <v>1</v>
      </c>
      <c r="I790" s="1853" t="s">
        <v>725</v>
      </c>
    </row>
    <row r="791" spans="1:9" ht="11.25" customHeight="1">
      <c r="A791" s="1853" t="s">
        <v>2101</v>
      </c>
      <c r="B791" s="1853" t="s">
        <v>0</v>
      </c>
      <c r="C791" s="1853" t="s">
        <v>3710</v>
      </c>
      <c r="D791" s="1853" t="s">
        <v>3711</v>
      </c>
      <c r="E791" s="1853" t="s">
        <v>3712</v>
      </c>
      <c r="F791" s="1853" t="s">
        <v>2149</v>
      </c>
      <c r="G791" s="1853" t="s">
        <v>1</v>
      </c>
      <c r="H791" s="1853" t="s">
        <v>3713</v>
      </c>
      <c r="I791" s="1853" t="s">
        <v>725</v>
      </c>
    </row>
    <row r="792" spans="1:9" ht="11.25" customHeight="1">
      <c r="A792" s="1853" t="s">
        <v>2101</v>
      </c>
      <c r="B792" s="1853" t="s">
        <v>0</v>
      </c>
      <c r="C792" s="1853" t="s">
        <v>3714</v>
      </c>
      <c r="D792" s="1853" t="s">
        <v>3715</v>
      </c>
      <c r="E792" s="1853" t="s">
        <v>3716</v>
      </c>
      <c r="F792" s="1853" t="s">
        <v>2416</v>
      </c>
      <c r="G792" s="1853" t="s">
        <v>1</v>
      </c>
      <c r="H792" s="1853" t="s">
        <v>1</v>
      </c>
      <c r="I792" s="1853" t="s">
        <v>725</v>
      </c>
    </row>
    <row r="793" spans="1:9" ht="11.25" customHeight="1">
      <c r="A793" s="1853" t="s">
        <v>2101</v>
      </c>
      <c r="B793" s="1853" t="s">
        <v>0</v>
      </c>
      <c r="C793" s="1853" t="s">
        <v>3721</v>
      </c>
      <c r="D793" s="1853" t="s">
        <v>3722</v>
      </c>
      <c r="E793" s="1853" t="s">
        <v>3723</v>
      </c>
      <c r="F793" s="1853" t="s">
        <v>12</v>
      </c>
      <c r="G793" s="1853" t="s">
        <v>3724</v>
      </c>
      <c r="H793" s="1853" t="s">
        <v>1</v>
      </c>
      <c r="I793" s="1853" t="s">
        <v>725</v>
      </c>
    </row>
    <row r="794" spans="1:9" ht="11.25" customHeight="1">
      <c r="A794" s="1853" t="s">
        <v>2101</v>
      </c>
      <c r="B794" s="1853" t="s">
        <v>0</v>
      </c>
      <c r="C794" s="1853" t="s">
        <v>3735</v>
      </c>
      <c r="D794" s="1853" t="s">
        <v>3736</v>
      </c>
      <c r="E794" s="1853" t="s">
        <v>3737</v>
      </c>
      <c r="F794" s="1853" t="s">
        <v>2528</v>
      </c>
      <c r="G794" s="1853" t="s">
        <v>1</v>
      </c>
      <c r="H794" s="1853" t="s">
        <v>1</v>
      </c>
      <c r="I794" s="1853" t="s">
        <v>725</v>
      </c>
    </row>
    <row r="795" spans="1:9" ht="11.25" customHeight="1">
      <c r="A795" s="1853" t="s">
        <v>2101</v>
      </c>
      <c r="B795" s="1853" t="s">
        <v>0</v>
      </c>
      <c r="C795" s="1853" t="s">
        <v>3744</v>
      </c>
      <c r="D795" s="1853" t="s">
        <v>3745</v>
      </c>
      <c r="E795" s="1853" t="s">
        <v>3746</v>
      </c>
      <c r="F795" s="1853" t="s">
        <v>12</v>
      </c>
      <c r="G795" s="1853" t="s">
        <v>2494</v>
      </c>
      <c r="H795" s="1853" t="s">
        <v>1</v>
      </c>
      <c r="I795" s="1853" t="s">
        <v>725</v>
      </c>
    </row>
    <row r="796" spans="1:9" ht="11.25" customHeight="1">
      <c r="A796" s="1853" t="s">
        <v>2101</v>
      </c>
      <c r="B796" s="1853" t="s">
        <v>0</v>
      </c>
      <c r="C796" s="1853" t="s">
        <v>3754</v>
      </c>
      <c r="D796" s="1853" t="s">
        <v>3755</v>
      </c>
      <c r="E796" s="1853" t="s">
        <v>3756</v>
      </c>
      <c r="F796" s="1853" t="s">
        <v>2230</v>
      </c>
      <c r="G796" s="1853" t="s">
        <v>1</v>
      </c>
      <c r="H796" s="1853" t="s">
        <v>1</v>
      </c>
      <c r="I796" s="1853" t="s">
        <v>725</v>
      </c>
    </row>
    <row r="797" spans="1:9" ht="11.25" customHeight="1">
      <c r="A797" s="1853" t="s">
        <v>2101</v>
      </c>
      <c r="B797" s="1853" t="s">
        <v>0</v>
      </c>
      <c r="C797" s="1853" t="s">
        <v>3782</v>
      </c>
      <c r="D797" s="1853" t="s">
        <v>3783</v>
      </c>
      <c r="E797" s="1853" t="s">
        <v>3784</v>
      </c>
      <c r="F797" s="1853" t="s">
        <v>2416</v>
      </c>
      <c r="G797" s="1853" t="s">
        <v>3785</v>
      </c>
      <c r="H797" s="1853" t="s">
        <v>1</v>
      </c>
      <c r="I797" s="1853" t="s">
        <v>725</v>
      </c>
    </row>
    <row r="798" spans="1:9" ht="11.25" customHeight="1">
      <c r="A798" s="1853" t="s">
        <v>2101</v>
      </c>
      <c r="B798" s="1853" t="s">
        <v>0</v>
      </c>
      <c r="C798" s="1853" t="s">
        <v>3789</v>
      </c>
      <c r="D798" s="1853" t="s">
        <v>3790</v>
      </c>
      <c r="E798" s="1853" t="s">
        <v>3791</v>
      </c>
      <c r="F798" s="1853" t="s">
        <v>2105</v>
      </c>
      <c r="G798" s="1853" t="s">
        <v>1</v>
      </c>
      <c r="H798" s="1853" t="s">
        <v>1</v>
      </c>
      <c r="I798" s="1853" t="s">
        <v>725</v>
      </c>
    </row>
    <row r="799" spans="1:9" ht="11.25" customHeight="1">
      <c r="A799" s="1853" t="s">
        <v>2101</v>
      </c>
      <c r="B799" s="1853" t="s">
        <v>0</v>
      </c>
      <c r="C799" s="1853" t="s">
        <v>3809</v>
      </c>
      <c r="D799" s="1853" t="s">
        <v>3810</v>
      </c>
      <c r="E799" s="1853" t="s">
        <v>3811</v>
      </c>
      <c r="F799" s="1853" t="s">
        <v>3087</v>
      </c>
      <c r="G799" s="1853" t="s">
        <v>1</v>
      </c>
      <c r="H799" s="1853" t="s">
        <v>1</v>
      </c>
      <c r="I799" s="1853" t="s">
        <v>725</v>
      </c>
    </row>
    <row r="800" spans="1:9" ht="11.25" customHeight="1">
      <c r="A800" s="1853" t="s">
        <v>2101</v>
      </c>
      <c r="B800" s="1853" t="s">
        <v>0</v>
      </c>
      <c r="C800" s="1853" t="s">
        <v>3815</v>
      </c>
      <c r="D800" s="1853" t="s">
        <v>3816</v>
      </c>
      <c r="E800" s="1853" t="s">
        <v>3817</v>
      </c>
      <c r="F800" s="1853" t="s">
        <v>2105</v>
      </c>
      <c r="G800" s="1853" t="s">
        <v>3818</v>
      </c>
      <c r="H800" s="1853" t="s">
        <v>1</v>
      </c>
      <c r="I800" s="1853" t="s">
        <v>725</v>
      </c>
    </row>
    <row r="801" spans="1:9" ht="11.25" customHeight="1">
      <c r="A801" s="1853" t="s">
        <v>2101</v>
      </c>
      <c r="B801" s="1853" t="s">
        <v>0</v>
      </c>
      <c r="C801" s="1853" t="s">
        <v>3823</v>
      </c>
      <c r="D801" s="1853" t="s">
        <v>3824</v>
      </c>
      <c r="E801" s="1853" t="s">
        <v>3825</v>
      </c>
      <c r="F801" s="1853" t="s">
        <v>2230</v>
      </c>
      <c r="G801" s="1853" t="s">
        <v>3826</v>
      </c>
      <c r="H801" s="1853" t="s">
        <v>1</v>
      </c>
      <c r="I801" s="1853" t="s">
        <v>725</v>
      </c>
    </row>
    <row r="802" spans="1:9" ht="11.25" customHeight="1">
      <c r="A802" s="1853" t="s">
        <v>2101</v>
      </c>
      <c r="B802" s="1853" t="s">
        <v>0</v>
      </c>
      <c r="C802" s="1853" t="s">
        <v>3827</v>
      </c>
      <c r="D802" s="1853" t="s">
        <v>3828</v>
      </c>
      <c r="E802" s="1853" t="s">
        <v>3829</v>
      </c>
      <c r="F802" s="1853" t="s">
        <v>2329</v>
      </c>
      <c r="G802" s="1853" t="s">
        <v>1</v>
      </c>
      <c r="H802" s="1853" t="s">
        <v>1</v>
      </c>
      <c r="I802" s="1853" t="s">
        <v>725</v>
      </c>
    </row>
    <row r="803" spans="1:9" ht="11.25" customHeight="1">
      <c r="A803" s="1853" t="s">
        <v>2101</v>
      </c>
      <c r="B803" s="1853" t="s">
        <v>0</v>
      </c>
      <c r="C803" s="1853" t="s">
        <v>3830</v>
      </c>
      <c r="D803" s="1853" t="s">
        <v>3831</v>
      </c>
      <c r="E803" s="1853" t="s">
        <v>3832</v>
      </c>
      <c r="F803" s="1853" t="s">
        <v>12</v>
      </c>
      <c r="G803" s="1853" t="s">
        <v>1</v>
      </c>
      <c r="H803" s="1853" t="s">
        <v>1</v>
      </c>
      <c r="I803" s="1853" t="s">
        <v>725</v>
      </c>
    </row>
    <row r="804" spans="1:9" ht="11.25" customHeight="1">
      <c r="A804" s="1853" t="s">
        <v>2101</v>
      </c>
      <c r="B804" s="1853" t="s">
        <v>0</v>
      </c>
      <c r="C804" s="1853" t="s">
        <v>3851</v>
      </c>
      <c r="D804" s="1853" t="s">
        <v>3852</v>
      </c>
      <c r="E804" s="1853" t="s">
        <v>3853</v>
      </c>
      <c r="F804" s="1853" t="s">
        <v>2329</v>
      </c>
      <c r="G804" s="1853" t="s">
        <v>1</v>
      </c>
      <c r="H804" s="1853" t="s">
        <v>1</v>
      </c>
      <c r="I804" s="1853" t="s">
        <v>725</v>
      </c>
    </row>
    <row r="805" spans="1:9" ht="11.25" customHeight="1">
      <c r="A805" s="1853" t="s">
        <v>2101</v>
      </c>
      <c r="B805" s="1853" t="s">
        <v>0</v>
      </c>
      <c r="C805" s="1853" t="s">
        <v>3868</v>
      </c>
      <c r="D805" s="1853" t="s">
        <v>3869</v>
      </c>
      <c r="E805" s="1853" t="s">
        <v>3870</v>
      </c>
      <c r="F805" s="1853" t="s">
        <v>2708</v>
      </c>
      <c r="G805" s="1853" t="s">
        <v>3871</v>
      </c>
      <c r="H805" s="1853" t="s">
        <v>1</v>
      </c>
      <c r="I805" s="1853" t="s">
        <v>725</v>
      </c>
    </row>
    <row r="806" spans="1:9" ht="11.25" customHeight="1">
      <c r="A806" s="1853" t="s">
        <v>2101</v>
      </c>
      <c r="B806" s="1853" t="s">
        <v>0</v>
      </c>
      <c r="C806" s="1853" t="s">
        <v>3875</v>
      </c>
      <c r="D806" s="1853" t="s">
        <v>3876</v>
      </c>
      <c r="E806" s="1853" t="s">
        <v>3877</v>
      </c>
      <c r="F806" s="1853" t="s">
        <v>3878</v>
      </c>
      <c r="G806" s="1853" t="s">
        <v>3879</v>
      </c>
      <c r="H806" s="1853" t="s">
        <v>1</v>
      </c>
      <c r="I806" s="1853" t="s">
        <v>725</v>
      </c>
    </row>
    <row r="807" spans="1:9" ht="11.25" customHeight="1">
      <c r="A807" s="1853" t="s">
        <v>2101</v>
      </c>
      <c r="B807" s="1853" t="s">
        <v>0</v>
      </c>
      <c r="C807" s="1853" t="s">
        <v>3880</v>
      </c>
      <c r="D807" s="1853" t="s">
        <v>3881</v>
      </c>
      <c r="E807" s="1853" t="s">
        <v>3882</v>
      </c>
      <c r="F807" s="1853" t="s">
        <v>3883</v>
      </c>
      <c r="G807" s="1853" t="s">
        <v>1</v>
      </c>
      <c r="H807" s="1853" t="s">
        <v>1</v>
      </c>
      <c r="I807" s="1853" t="s">
        <v>725</v>
      </c>
    </row>
    <row r="808" spans="1:9" ht="11.25" customHeight="1">
      <c r="A808" s="1853" t="s">
        <v>2101</v>
      </c>
      <c r="B808" s="1853" t="s">
        <v>0</v>
      </c>
      <c r="C808" s="1853" t="s">
        <v>3904</v>
      </c>
      <c r="D808" s="1853" t="s">
        <v>3905</v>
      </c>
      <c r="E808" s="1853" t="s">
        <v>3906</v>
      </c>
      <c r="F808" s="1853" t="s">
        <v>2239</v>
      </c>
      <c r="G808" s="1853" t="s">
        <v>3907</v>
      </c>
      <c r="H808" s="1853" t="s">
        <v>1</v>
      </c>
      <c r="I808" s="1853" t="s">
        <v>725</v>
      </c>
    </row>
    <row r="809" spans="1:9" ht="11.25" customHeight="1">
      <c r="A809" s="1853" t="s">
        <v>2101</v>
      </c>
      <c r="B809" s="1853" t="s">
        <v>0</v>
      </c>
      <c r="C809" s="1853" t="s">
        <v>3911</v>
      </c>
      <c r="D809" s="1853" t="s">
        <v>3912</v>
      </c>
      <c r="E809" s="1853" t="s">
        <v>3913</v>
      </c>
      <c r="F809" s="1853" t="s">
        <v>2178</v>
      </c>
      <c r="G809" s="1853" t="s">
        <v>3914</v>
      </c>
      <c r="H809" s="1853" t="s">
        <v>1</v>
      </c>
      <c r="I809" s="1853" t="s">
        <v>725</v>
      </c>
    </row>
    <row r="810" spans="1:9" ht="11.25" customHeight="1">
      <c r="A810" s="1853" t="s">
        <v>2101</v>
      </c>
      <c r="B810" s="1853" t="s">
        <v>0</v>
      </c>
      <c r="C810" s="1853" t="s">
        <v>3921</v>
      </c>
      <c r="D810" s="1853" t="s">
        <v>3922</v>
      </c>
      <c r="E810" s="1853" t="s">
        <v>3923</v>
      </c>
      <c r="F810" s="1853" t="s">
        <v>2613</v>
      </c>
      <c r="G810" s="1853" t="s">
        <v>1</v>
      </c>
      <c r="H810" s="1853" t="s">
        <v>1</v>
      </c>
      <c r="I810" s="1853" t="s">
        <v>725</v>
      </c>
    </row>
    <row r="811" spans="1:9" ht="11.25" customHeight="1">
      <c r="A811" s="1853" t="s">
        <v>2101</v>
      </c>
      <c r="B811" s="1853" t="s">
        <v>0</v>
      </c>
      <c r="C811" s="1853" t="s">
        <v>3928</v>
      </c>
      <c r="D811" s="1853" t="s">
        <v>3929</v>
      </c>
      <c r="E811" s="1853" t="s">
        <v>3930</v>
      </c>
      <c r="F811" s="1853" t="s">
        <v>2424</v>
      </c>
      <c r="G811" s="1853" t="s">
        <v>3931</v>
      </c>
      <c r="H811" s="1853" t="s">
        <v>1</v>
      </c>
      <c r="I811" s="1853" t="s">
        <v>725</v>
      </c>
    </row>
    <row r="812" spans="1:9" ht="11.25" customHeight="1">
      <c r="A812" s="1853" t="s">
        <v>2101</v>
      </c>
      <c r="B812" s="1853" t="s">
        <v>0</v>
      </c>
      <c r="C812" s="1853" t="s">
        <v>3932</v>
      </c>
      <c r="D812" s="1853" t="s">
        <v>3933</v>
      </c>
      <c r="E812" s="1853" t="s">
        <v>3934</v>
      </c>
      <c r="F812" s="1853" t="s">
        <v>2211</v>
      </c>
      <c r="G812" s="1853" t="s">
        <v>1</v>
      </c>
      <c r="H812" s="1853" t="s">
        <v>1</v>
      </c>
      <c r="I812" s="1853" t="s">
        <v>725</v>
      </c>
    </row>
    <row r="813" spans="1:9" ht="11.25" customHeight="1">
      <c r="A813" s="1853" t="s">
        <v>2101</v>
      </c>
      <c r="B813" s="1853" t="s">
        <v>0</v>
      </c>
      <c r="C813" s="1853" t="s">
        <v>3948</v>
      </c>
      <c r="D813" s="1853" t="s">
        <v>3949</v>
      </c>
      <c r="E813" s="1853" t="s">
        <v>3950</v>
      </c>
      <c r="F813" s="1853" t="s">
        <v>2207</v>
      </c>
      <c r="G813" s="1853" t="s">
        <v>1</v>
      </c>
      <c r="H813" s="1853" t="s">
        <v>1</v>
      </c>
      <c r="I813" s="1853" t="s">
        <v>725</v>
      </c>
    </row>
    <row r="814" spans="1:9" ht="11.25" customHeight="1">
      <c r="A814" s="1853" t="s">
        <v>2101</v>
      </c>
      <c r="B814" s="1853" t="s">
        <v>0</v>
      </c>
      <c r="C814" s="1853" t="s">
        <v>3967</v>
      </c>
      <c r="D814" s="1853" t="s">
        <v>3968</v>
      </c>
      <c r="E814" s="1853" t="s">
        <v>3969</v>
      </c>
      <c r="F814" s="1853" t="s">
        <v>2230</v>
      </c>
      <c r="G814" s="1853" t="s">
        <v>3970</v>
      </c>
      <c r="H814" s="1853" t="s">
        <v>1</v>
      </c>
      <c r="I814" s="1853" t="s">
        <v>725</v>
      </c>
    </row>
    <row r="815" spans="1:9" ht="11.25" customHeight="1">
      <c r="A815" s="1853" t="s">
        <v>2101</v>
      </c>
      <c r="B815" s="1853" t="s">
        <v>0</v>
      </c>
      <c r="C815" s="1853" t="s">
        <v>3977</v>
      </c>
      <c r="D815" s="1853" t="s">
        <v>3978</v>
      </c>
      <c r="E815" s="1853" t="s">
        <v>3979</v>
      </c>
      <c r="F815" s="1853" t="s">
        <v>2424</v>
      </c>
      <c r="G815" s="1853" t="s">
        <v>3980</v>
      </c>
      <c r="H815" s="1853" t="s">
        <v>1</v>
      </c>
      <c r="I815" s="1853" t="s">
        <v>725</v>
      </c>
    </row>
    <row r="816" spans="1:9" ht="11.25" customHeight="1">
      <c r="A816" s="1853" t="s">
        <v>2101</v>
      </c>
      <c r="B816" s="1853" t="s">
        <v>0</v>
      </c>
      <c r="C816" s="1853" t="s">
        <v>4033</v>
      </c>
      <c r="D816" s="1853" t="s">
        <v>4034</v>
      </c>
      <c r="E816" s="1853" t="s">
        <v>4035</v>
      </c>
      <c r="F816" s="1853" t="s">
        <v>2159</v>
      </c>
      <c r="G816" s="1853" t="s">
        <v>4036</v>
      </c>
      <c r="H816" s="1853" t="s">
        <v>1</v>
      </c>
      <c r="I816" s="1853" t="s">
        <v>725</v>
      </c>
    </row>
    <row r="817" spans="1:9" ht="11.25" customHeight="1">
      <c r="A817" s="1853" t="s">
        <v>2101</v>
      </c>
      <c r="B817" s="1853" t="s">
        <v>0</v>
      </c>
      <c r="C817" s="1853" t="s">
        <v>4037</v>
      </c>
      <c r="D817" s="1853" t="s">
        <v>4038</v>
      </c>
      <c r="E817" s="1853" t="s">
        <v>4039</v>
      </c>
      <c r="F817" s="1853" t="s">
        <v>2159</v>
      </c>
      <c r="G817" s="1853" t="s">
        <v>1</v>
      </c>
      <c r="H817" s="1853" t="s">
        <v>1</v>
      </c>
      <c r="I817" s="1853" t="s">
        <v>725</v>
      </c>
    </row>
    <row r="818" spans="1:9" ht="11.25" customHeight="1">
      <c r="A818" s="1853" t="s">
        <v>2101</v>
      </c>
      <c r="B818" s="1853" t="s">
        <v>0</v>
      </c>
      <c r="C818" s="1853" t="s">
        <v>4046</v>
      </c>
      <c r="D818" s="1853" t="s">
        <v>4047</v>
      </c>
      <c r="E818" s="1853" t="s">
        <v>4048</v>
      </c>
      <c r="F818" s="1853" t="s">
        <v>2207</v>
      </c>
      <c r="G818" s="1853" t="s">
        <v>1</v>
      </c>
      <c r="H818" s="1853" t="s">
        <v>1</v>
      </c>
      <c r="I818" s="1853" t="s">
        <v>725</v>
      </c>
    </row>
    <row r="819" spans="1:9" ht="11.25" customHeight="1">
      <c r="A819" s="1853" t="s">
        <v>2101</v>
      </c>
      <c r="B819" s="1853" t="s">
        <v>0</v>
      </c>
      <c r="C819" s="1853" t="s">
        <v>4053</v>
      </c>
      <c r="D819" s="1853" t="s">
        <v>4054</v>
      </c>
      <c r="E819" s="1853" t="s">
        <v>4055</v>
      </c>
      <c r="F819" s="1853" t="s">
        <v>2178</v>
      </c>
      <c r="G819" s="1853" t="s">
        <v>4056</v>
      </c>
      <c r="H819" s="1853" t="s">
        <v>1</v>
      </c>
      <c r="I819" s="1853" t="s">
        <v>725</v>
      </c>
    </row>
    <row r="820" spans="1:9" ht="11.25" customHeight="1">
      <c r="A820" s="1853" t="s">
        <v>2101</v>
      </c>
      <c r="B820" s="1853" t="s">
        <v>0</v>
      </c>
      <c r="C820" s="1853" t="s">
        <v>4061</v>
      </c>
      <c r="D820" s="1853" t="s">
        <v>4062</v>
      </c>
      <c r="E820" s="1853" t="s">
        <v>4063</v>
      </c>
      <c r="F820" s="1853" t="s">
        <v>4064</v>
      </c>
      <c r="G820" s="1853" t="s">
        <v>4065</v>
      </c>
      <c r="H820" s="1853" t="s">
        <v>1</v>
      </c>
      <c r="I820" s="1853" t="s">
        <v>725</v>
      </c>
    </row>
    <row r="821" spans="1:9" ht="11.25" customHeight="1">
      <c r="A821" s="1853" t="s">
        <v>2101</v>
      </c>
      <c r="B821" s="1853" t="s">
        <v>0</v>
      </c>
      <c r="C821" s="1853" t="s">
        <v>4070</v>
      </c>
      <c r="D821" s="1853" t="s">
        <v>4071</v>
      </c>
      <c r="E821" s="1853" t="s">
        <v>4072</v>
      </c>
      <c r="F821" s="1853" t="s">
        <v>2230</v>
      </c>
      <c r="G821" s="1853" t="s">
        <v>1</v>
      </c>
      <c r="H821" s="1853" t="s">
        <v>1</v>
      </c>
      <c r="I821" s="1853" t="s">
        <v>725</v>
      </c>
    </row>
    <row r="822" spans="1:9" ht="11.25" customHeight="1">
      <c r="A822" s="1853" t="s">
        <v>2101</v>
      </c>
      <c r="B822" s="1853" t="s">
        <v>0</v>
      </c>
      <c r="C822" s="1853" t="s">
        <v>4079</v>
      </c>
      <c r="D822" s="1853" t="s">
        <v>4080</v>
      </c>
      <c r="E822" s="1853" t="s">
        <v>4081</v>
      </c>
      <c r="F822" s="1853" t="s">
        <v>2379</v>
      </c>
      <c r="G822" s="1853" t="s">
        <v>1</v>
      </c>
      <c r="H822" s="1853" t="s">
        <v>1</v>
      </c>
      <c r="I822" s="1853" t="s">
        <v>725</v>
      </c>
    </row>
    <row r="823" spans="1:9" ht="11.25" customHeight="1">
      <c r="A823" s="1853" t="s">
        <v>2101</v>
      </c>
      <c r="B823" s="1853" t="s">
        <v>0</v>
      </c>
      <c r="C823" s="1853" t="s">
        <v>4089</v>
      </c>
      <c r="D823" s="1853" t="s">
        <v>4090</v>
      </c>
      <c r="E823" s="1853" t="s">
        <v>4091</v>
      </c>
      <c r="F823" s="1853" t="s">
        <v>2568</v>
      </c>
      <c r="G823" s="1853" t="s">
        <v>1</v>
      </c>
      <c r="H823" s="1853" t="s">
        <v>1</v>
      </c>
      <c r="I823" s="1853" t="s">
        <v>725</v>
      </c>
    </row>
    <row r="824" spans="1:9" ht="11.25" customHeight="1">
      <c r="A824" s="1853" t="s">
        <v>2101</v>
      </c>
      <c r="B824" s="1853" t="s">
        <v>0</v>
      </c>
      <c r="C824" s="1853" t="s">
        <v>4095</v>
      </c>
      <c r="D824" s="1853" t="s">
        <v>4096</v>
      </c>
      <c r="E824" s="1853" t="s">
        <v>4097</v>
      </c>
      <c r="F824" s="1853" t="s">
        <v>3425</v>
      </c>
      <c r="G824" s="1853" t="s">
        <v>1</v>
      </c>
      <c r="H824" s="1853" t="s">
        <v>1</v>
      </c>
      <c r="I824" s="1853" t="s">
        <v>725</v>
      </c>
    </row>
    <row r="825" spans="1:9" ht="11.25" customHeight="1">
      <c r="A825" s="1853" t="s">
        <v>2101</v>
      </c>
      <c r="B825" s="1853" t="s">
        <v>0</v>
      </c>
      <c r="C825" s="1853" t="s">
        <v>4101</v>
      </c>
      <c r="D825" s="1853" t="s">
        <v>4102</v>
      </c>
      <c r="E825" s="1853" t="s">
        <v>4103</v>
      </c>
      <c r="F825" s="1853" t="s">
        <v>2105</v>
      </c>
      <c r="G825" s="1853" t="s">
        <v>4104</v>
      </c>
      <c r="H825" s="1853" t="s">
        <v>1</v>
      </c>
      <c r="I825" s="1853" t="s">
        <v>725</v>
      </c>
    </row>
    <row r="826" spans="1:9" ht="11.25" customHeight="1">
      <c r="A826" s="1853" t="s">
        <v>2101</v>
      </c>
      <c r="B826" s="1853" t="s">
        <v>0</v>
      </c>
      <c r="C826" s="1853" t="s">
        <v>4109</v>
      </c>
      <c r="D826" s="1853" t="s">
        <v>4110</v>
      </c>
      <c r="E826" s="1853" t="s">
        <v>4111</v>
      </c>
      <c r="F826" s="1853" t="s">
        <v>4112</v>
      </c>
      <c r="G826" s="1853" t="s">
        <v>4113</v>
      </c>
      <c r="H826" s="1853" t="s">
        <v>1</v>
      </c>
      <c r="I826" s="1853" t="s">
        <v>725</v>
      </c>
    </row>
    <row r="827" spans="1:9" ht="11.25" customHeight="1">
      <c r="A827" s="1853" t="s">
        <v>2101</v>
      </c>
      <c r="B827" s="1853" t="s">
        <v>0</v>
      </c>
      <c r="C827" s="1853" t="s">
        <v>4114</v>
      </c>
      <c r="D827" s="1853" t="s">
        <v>4115</v>
      </c>
      <c r="E827" s="1853" t="s">
        <v>4116</v>
      </c>
      <c r="F827" s="1853" t="s">
        <v>4117</v>
      </c>
      <c r="G827" s="1853" t="s">
        <v>1</v>
      </c>
      <c r="H827" s="1853" t="s">
        <v>1</v>
      </c>
      <c r="I827" s="1853" t="s">
        <v>725</v>
      </c>
    </row>
    <row r="828" spans="1:9" ht="11.25" customHeight="1">
      <c r="A828" s="1853" t="s">
        <v>2101</v>
      </c>
      <c r="B828" s="1853" t="s">
        <v>0</v>
      </c>
      <c r="C828" s="1853" t="s">
        <v>4121</v>
      </c>
      <c r="D828" s="1853" t="s">
        <v>4122</v>
      </c>
      <c r="E828" s="1853" t="s">
        <v>4123</v>
      </c>
      <c r="F828" s="1853" t="s">
        <v>2105</v>
      </c>
      <c r="G828" s="1853" t="s">
        <v>4124</v>
      </c>
      <c r="H828" s="1853" t="s">
        <v>1</v>
      </c>
      <c r="I828" s="1853" t="s">
        <v>725</v>
      </c>
    </row>
    <row r="829" spans="1:9" ht="11.25" customHeight="1">
      <c r="A829" s="1853" t="s">
        <v>2101</v>
      </c>
      <c r="B829" s="1853" t="s">
        <v>0</v>
      </c>
      <c r="C829" s="1853" t="s">
        <v>4125</v>
      </c>
      <c r="D829" s="1853" t="s">
        <v>4126</v>
      </c>
      <c r="E829" s="1853" t="s">
        <v>4127</v>
      </c>
      <c r="F829" s="1853" t="s">
        <v>2222</v>
      </c>
      <c r="G829" s="1853" t="s">
        <v>1</v>
      </c>
      <c r="H829" s="1853" t="s">
        <v>1</v>
      </c>
      <c r="I829" s="1853" t="s">
        <v>725</v>
      </c>
    </row>
    <row r="830" spans="1:9" ht="11.25" customHeight="1">
      <c r="A830" s="1853" t="s">
        <v>2101</v>
      </c>
      <c r="B830" s="1853" t="s">
        <v>0</v>
      </c>
      <c r="C830" s="1853" t="s">
        <v>4138</v>
      </c>
      <c r="D830" s="1853" t="s">
        <v>4139</v>
      </c>
      <c r="E830" s="1853" t="s">
        <v>4140</v>
      </c>
      <c r="F830" s="1853" t="s">
        <v>2178</v>
      </c>
      <c r="G830" s="1853" t="s">
        <v>1</v>
      </c>
      <c r="H830" s="1853" t="s">
        <v>1</v>
      </c>
      <c r="I830" s="1853" t="s">
        <v>725</v>
      </c>
    </row>
    <row r="831" spans="1:9" ht="11.25" customHeight="1">
      <c r="A831" s="1853" t="s">
        <v>2101</v>
      </c>
      <c r="B831" s="1853" t="s">
        <v>0</v>
      </c>
      <c r="C831" s="1853" t="s">
        <v>4141</v>
      </c>
      <c r="D831" s="1853" t="s">
        <v>4142</v>
      </c>
      <c r="E831" s="1853" t="s">
        <v>4143</v>
      </c>
      <c r="F831" s="1853" t="s">
        <v>2196</v>
      </c>
      <c r="G831" s="1853" t="s">
        <v>4144</v>
      </c>
      <c r="H831" s="1853" t="s">
        <v>1</v>
      </c>
      <c r="I831" s="1853" t="s">
        <v>725</v>
      </c>
    </row>
    <row r="832" spans="1:9" ht="11.25" customHeight="1">
      <c r="A832" s="1853" t="s">
        <v>2101</v>
      </c>
      <c r="B832" s="1853" t="s">
        <v>0</v>
      </c>
      <c r="C832" s="1853" t="s">
        <v>4145</v>
      </c>
      <c r="D832" s="1853" t="s">
        <v>4146</v>
      </c>
      <c r="E832" s="1853" t="s">
        <v>4147</v>
      </c>
      <c r="F832" s="1853" t="s">
        <v>2416</v>
      </c>
      <c r="G832" s="1853" t="s">
        <v>1</v>
      </c>
      <c r="H832" s="1853" t="s">
        <v>1</v>
      </c>
      <c r="I832" s="1853" t="s">
        <v>725</v>
      </c>
    </row>
    <row r="833" spans="1:9" ht="11.25" customHeight="1">
      <c r="A833" s="1853" t="s">
        <v>2101</v>
      </c>
      <c r="B833" s="1853" t="s">
        <v>0</v>
      </c>
      <c r="C833" s="1853" t="s">
        <v>4151</v>
      </c>
      <c r="D833" s="1853" t="s">
        <v>4152</v>
      </c>
      <c r="E833" s="1853" t="s">
        <v>4127</v>
      </c>
      <c r="F833" s="1853" t="s">
        <v>2605</v>
      </c>
      <c r="G833" s="1853" t="s">
        <v>4153</v>
      </c>
      <c r="H833" s="1853" t="s">
        <v>1</v>
      </c>
      <c r="I833" s="1853" t="s">
        <v>725</v>
      </c>
    </row>
    <row r="834" spans="1:9" ht="11.25" customHeight="1">
      <c r="A834" s="1853" t="s">
        <v>2101</v>
      </c>
      <c r="B834" s="1853" t="s">
        <v>0</v>
      </c>
      <c r="C834" s="1853" t="s">
        <v>4157</v>
      </c>
      <c r="D834" s="1853" t="s">
        <v>4158</v>
      </c>
      <c r="E834" s="1853" t="s">
        <v>4063</v>
      </c>
      <c r="F834" s="1853" t="s">
        <v>4159</v>
      </c>
      <c r="G834" s="1853" t="s">
        <v>4160</v>
      </c>
      <c r="H834" s="1853" t="s">
        <v>1</v>
      </c>
      <c r="I834" s="1853" t="s">
        <v>725</v>
      </c>
    </row>
    <row r="835" spans="1:9" ht="11.25" customHeight="1">
      <c r="A835" s="1853" t="s">
        <v>2101</v>
      </c>
      <c r="B835" s="1853" t="s">
        <v>0</v>
      </c>
      <c r="C835" s="1853" t="s">
        <v>4161</v>
      </c>
      <c r="D835" s="1853" t="s">
        <v>4162</v>
      </c>
      <c r="E835" s="1853" t="s">
        <v>2415</v>
      </c>
      <c r="F835" s="1853" t="s">
        <v>4163</v>
      </c>
      <c r="G835" s="1853" t="s">
        <v>1</v>
      </c>
      <c r="H835" s="1853" t="s">
        <v>1</v>
      </c>
      <c r="I835" s="1853" t="s">
        <v>725</v>
      </c>
    </row>
    <row r="836" spans="1:9" ht="11.25" customHeight="1">
      <c r="A836" s="1853" t="s">
        <v>2101</v>
      </c>
      <c r="B836" s="1853" t="s">
        <v>0</v>
      </c>
      <c r="C836" s="1853" t="s">
        <v>4175</v>
      </c>
      <c r="D836" s="1853" t="s">
        <v>4176</v>
      </c>
      <c r="E836" s="1853" t="s">
        <v>4177</v>
      </c>
      <c r="F836" s="1853" t="s">
        <v>4178</v>
      </c>
      <c r="G836" s="1853" t="s">
        <v>1</v>
      </c>
      <c r="H836" s="1853" t="s">
        <v>1</v>
      </c>
      <c r="I836" s="1853" t="s">
        <v>725</v>
      </c>
    </row>
    <row r="837" spans="1:9" ht="11.25" customHeight="1">
      <c r="A837" s="1853" t="s">
        <v>2101</v>
      </c>
      <c r="B837" s="1853" t="s">
        <v>0</v>
      </c>
      <c r="C837" s="1853" t="s">
        <v>2102</v>
      </c>
      <c r="D837" s="1853" t="s">
        <v>2103</v>
      </c>
      <c r="E837" s="1853" t="s">
        <v>2104</v>
      </c>
      <c r="F837" s="1853" t="s">
        <v>2105</v>
      </c>
      <c r="G837" s="1853" t="s">
        <v>2106</v>
      </c>
      <c r="H837" s="1853" t="s">
        <v>1</v>
      </c>
      <c r="I837" s="1853" t="s">
        <v>687</v>
      </c>
    </row>
    <row r="838" spans="1:9" ht="11.25" customHeight="1">
      <c r="A838" s="1853" t="s">
        <v>2101</v>
      </c>
      <c r="B838" s="1853" t="s">
        <v>0</v>
      </c>
      <c r="C838" s="1853" t="s">
        <v>4189</v>
      </c>
      <c r="D838" s="1853" t="s">
        <v>4190</v>
      </c>
      <c r="E838" s="1853" t="s">
        <v>4191</v>
      </c>
      <c r="F838" s="1853" t="s">
        <v>2149</v>
      </c>
      <c r="G838" s="1853" t="s">
        <v>1</v>
      </c>
      <c r="H838" s="1853" t="s">
        <v>1</v>
      </c>
      <c r="I838" s="1853" t="s">
        <v>687</v>
      </c>
    </row>
    <row r="839" spans="1:9" ht="11.25" customHeight="1">
      <c r="A839" s="1853" t="s">
        <v>2101</v>
      </c>
      <c r="B839" s="1853" t="s">
        <v>0</v>
      </c>
      <c r="C839" s="1853" t="s">
        <v>2111</v>
      </c>
      <c r="D839" s="1853" t="s">
        <v>2112</v>
      </c>
      <c r="E839" s="1853" t="s">
        <v>2113</v>
      </c>
      <c r="F839" s="1853" t="s">
        <v>2114</v>
      </c>
      <c r="G839" s="1853" t="s">
        <v>2115</v>
      </c>
      <c r="H839" s="1853" t="s">
        <v>1</v>
      </c>
      <c r="I839" s="1853" t="s">
        <v>687</v>
      </c>
    </row>
    <row r="840" spans="1:9" ht="11.25" customHeight="1">
      <c r="A840" s="1853" t="s">
        <v>2101</v>
      </c>
      <c r="B840" s="1853" t="s">
        <v>0</v>
      </c>
      <c r="C840" s="1853" t="s">
        <v>2120</v>
      </c>
      <c r="D840" s="1853" t="s">
        <v>2121</v>
      </c>
      <c r="E840" s="1853" t="s">
        <v>2122</v>
      </c>
      <c r="F840" s="1853" t="s">
        <v>2123</v>
      </c>
      <c r="G840" s="1853" t="s">
        <v>1</v>
      </c>
      <c r="H840" s="1853" t="s">
        <v>1</v>
      </c>
      <c r="I840" s="1853" t="s">
        <v>687</v>
      </c>
    </row>
    <row r="841" spans="1:9" ht="11.25" customHeight="1">
      <c r="A841" s="1853" t="s">
        <v>2101</v>
      </c>
      <c r="B841" s="1853" t="s">
        <v>0</v>
      </c>
      <c r="C841" s="1853" t="s">
        <v>2124</v>
      </c>
      <c r="D841" s="1853" t="s">
        <v>2125</v>
      </c>
      <c r="E841" s="1853" t="s">
        <v>2126</v>
      </c>
      <c r="F841" s="1853" t="s">
        <v>2127</v>
      </c>
      <c r="G841" s="1853" t="s">
        <v>2128</v>
      </c>
      <c r="H841" s="1853" t="s">
        <v>1</v>
      </c>
      <c r="I841" s="1853" t="s">
        <v>687</v>
      </c>
    </row>
    <row r="842" spans="1:9" ht="11.25" customHeight="1">
      <c r="A842" s="1853" t="s">
        <v>2101</v>
      </c>
      <c r="B842" s="1853" t="s">
        <v>0</v>
      </c>
      <c r="C842" s="1853" t="s">
        <v>4192</v>
      </c>
      <c r="D842" s="1853" t="s">
        <v>4193</v>
      </c>
      <c r="E842" s="1853" t="s">
        <v>4194</v>
      </c>
      <c r="F842" s="1853" t="s">
        <v>4195</v>
      </c>
      <c r="G842" s="1853" t="s">
        <v>1</v>
      </c>
      <c r="H842" s="1853" t="s">
        <v>1</v>
      </c>
      <c r="I842" s="1853" t="s">
        <v>687</v>
      </c>
    </row>
    <row r="843" spans="1:9" ht="11.25" customHeight="1">
      <c r="A843" s="1853" t="s">
        <v>2101</v>
      </c>
      <c r="B843" s="1853" t="s">
        <v>0</v>
      </c>
      <c r="C843" s="1853" t="s">
        <v>2133</v>
      </c>
      <c r="D843" s="1853" t="s">
        <v>2134</v>
      </c>
      <c r="E843" s="1853" t="s">
        <v>2135</v>
      </c>
      <c r="F843" s="1853" t="s">
        <v>2136</v>
      </c>
      <c r="G843" s="1853" t="s">
        <v>2137</v>
      </c>
      <c r="H843" s="1853" t="s">
        <v>1</v>
      </c>
      <c r="I843" s="1853" t="s">
        <v>687</v>
      </c>
    </row>
    <row r="844" spans="1:9" ht="11.25" customHeight="1">
      <c r="A844" s="1853" t="s">
        <v>2101</v>
      </c>
      <c r="B844" s="1853" t="s">
        <v>0</v>
      </c>
      <c r="C844" s="1853" t="s">
        <v>2138</v>
      </c>
      <c r="D844" s="1853" t="s">
        <v>2139</v>
      </c>
      <c r="E844" s="1853" t="s">
        <v>2140</v>
      </c>
      <c r="F844" s="1853" t="s">
        <v>2141</v>
      </c>
      <c r="G844" s="1853" t="s">
        <v>1</v>
      </c>
      <c r="H844" s="1853" t="s">
        <v>1</v>
      </c>
      <c r="I844" s="1853" t="s">
        <v>687</v>
      </c>
    </row>
    <row r="845" spans="1:9" ht="11.25" customHeight="1">
      <c r="A845" s="1853" t="s">
        <v>2101</v>
      </c>
      <c r="B845" s="1853" t="s">
        <v>0</v>
      </c>
      <c r="C845" s="1853" t="s">
        <v>2146</v>
      </c>
      <c r="D845" s="1853" t="s">
        <v>2147</v>
      </c>
      <c r="E845" s="1853" t="s">
        <v>2148</v>
      </c>
      <c r="F845" s="1853" t="s">
        <v>2149</v>
      </c>
      <c r="G845" s="1853" t="s">
        <v>1</v>
      </c>
      <c r="H845" s="1853" t="s">
        <v>1</v>
      </c>
      <c r="I845" s="1853" t="s">
        <v>687</v>
      </c>
    </row>
    <row r="846" spans="1:9" ht="11.25" customHeight="1">
      <c r="A846" s="1853" t="s">
        <v>2101</v>
      </c>
      <c r="B846" s="1853" t="s">
        <v>0</v>
      </c>
      <c r="C846" s="1853" t="s">
        <v>2156</v>
      </c>
      <c r="D846" s="1853" t="s">
        <v>2157</v>
      </c>
      <c r="E846" s="1853" t="s">
        <v>2158</v>
      </c>
      <c r="F846" s="1853" t="s">
        <v>2159</v>
      </c>
      <c r="G846" s="1853" t="s">
        <v>2160</v>
      </c>
      <c r="H846" s="1853" t="s">
        <v>1</v>
      </c>
      <c r="I846" s="1853" t="s">
        <v>687</v>
      </c>
    </row>
    <row r="847" spans="1:9" ht="11.25" customHeight="1">
      <c r="A847" s="1853" t="s">
        <v>2101</v>
      </c>
      <c r="B847" s="1853" t="s">
        <v>0</v>
      </c>
      <c r="C847" s="1853" t="s">
        <v>2164</v>
      </c>
      <c r="D847" s="1853" t="s">
        <v>2165</v>
      </c>
      <c r="E847" s="1853" t="s">
        <v>2166</v>
      </c>
      <c r="F847" s="1853" t="s">
        <v>2105</v>
      </c>
      <c r="G847" s="1853" t="s">
        <v>1</v>
      </c>
      <c r="H847" s="1853" t="s">
        <v>1</v>
      </c>
      <c r="I847" s="1853" t="s">
        <v>687</v>
      </c>
    </row>
    <row r="848" spans="1:9" ht="11.25" customHeight="1">
      <c r="A848" s="1853" t="s">
        <v>2101</v>
      </c>
      <c r="B848" s="1853" t="s">
        <v>0</v>
      </c>
      <c r="C848" s="1853" t="s">
        <v>4196</v>
      </c>
      <c r="D848" s="1853" t="s">
        <v>4197</v>
      </c>
      <c r="E848" s="1853" t="s">
        <v>4198</v>
      </c>
      <c r="F848" s="1853" t="s">
        <v>3079</v>
      </c>
      <c r="G848" s="1853" t="s">
        <v>1</v>
      </c>
      <c r="H848" s="1853" t="s">
        <v>1</v>
      </c>
      <c r="I848" s="1853" t="s">
        <v>687</v>
      </c>
    </row>
    <row r="849" spans="1:9" ht="11.25" customHeight="1">
      <c r="A849" s="1853" t="s">
        <v>2101</v>
      </c>
      <c r="B849" s="1853" t="s">
        <v>0</v>
      </c>
      <c r="C849" s="1853" t="s">
        <v>2179</v>
      </c>
      <c r="D849" s="1853" t="s">
        <v>2180</v>
      </c>
      <c r="E849" s="1853" t="s">
        <v>2181</v>
      </c>
      <c r="F849" s="1853" t="s">
        <v>2182</v>
      </c>
      <c r="G849" s="1853" t="s">
        <v>2183</v>
      </c>
      <c r="H849" s="1853" t="s">
        <v>1</v>
      </c>
      <c r="I849" s="1853" t="s">
        <v>687</v>
      </c>
    </row>
    <row r="850" spans="1:9" ht="11.25" customHeight="1">
      <c r="A850" s="1853" t="s">
        <v>2101</v>
      </c>
      <c r="B850" s="1853" t="s">
        <v>0</v>
      </c>
      <c r="C850" s="1853" t="s">
        <v>2188</v>
      </c>
      <c r="D850" s="1853" t="s">
        <v>2189</v>
      </c>
      <c r="E850" s="1853" t="s">
        <v>2190</v>
      </c>
      <c r="F850" s="1853" t="s">
        <v>2191</v>
      </c>
      <c r="G850" s="1853" t="s">
        <v>2192</v>
      </c>
      <c r="H850" s="1853" t="s">
        <v>1</v>
      </c>
      <c r="I850" s="1853" t="s">
        <v>687</v>
      </c>
    </row>
    <row r="851" spans="1:9" ht="11.25" customHeight="1">
      <c r="A851" s="1853" t="s">
        <v>2101</v>
      </c>
      <c r="B851" s="1853" t="s">
        <v>0</v>
      </c>
      <c r="C851" s="1853" t="s">
        <v>2193</v>
      </c>
      <c r="D851" s="1853" t="s">
        <v>2194</v>
      </c>
      <c r="E851" s="1853" t="s">
        <v>2195</v>
      </c>
      <c r="F851" s="1853" t="s">
        <v>2196</v>
      </c>
      <c r="G851" s="1853" t="s">
        <v>1</v>
      </c>
      <c r="H851" s="1853" t="s">
        <v>1</v>
      </c>
      <c r="I851" s="1853" t="s">
        <v>687</v>
      </c>
    </row>
    <row r="852" spans="1:9" ht="11.25" customHeight="1">
      <c r="A852" s="1853" t="s">
        <v>2101</v>
      </c>
      <c r="B852" s="1853" t="s">
        <v>0</v>
      </c>
      <c r="C852" s="1853" t="s">
        <v>4199</v>
      </c>
      <c r="D852" s="1853" t="s">
        <v>4200</v>
      </c>
      <c r="E852" s="1853" t="s">
        <v>4201</v>
      </c>
      <c r="F852" s="1853" t="s">
        <v>2416</v>
      </c>
      <c r="G852" s="1853" t="s">
        <v>1</v>
      </c>
      <c r="H852" s="1853" t="s">
        <v>1</v>
      </c>
      <c r="I852" s="1853" t="s">
        <v>687</v>
      </c>
    </row>
    <row r="853" spans="1:9" ht="11.25" customHeight="1">
      <c r="A853" s="1853" t="s">
        <v>2101</v>
      </c>
      <c r="B853" s="1853" t="s">
        <v>0</v>
      </c>
      <c r="C853" s="1853" t="s">
        <v>4202</v>
      </c>
      <c r="D853" s="1853" t="s">
        <v>4203</v>
      </c>
      <c r="E853" s="1853" t="s">
        <v>4204</v>
      </c>
      <c r="F853" s="1853" t="s">
        <v>4205</v>
      </c>
      <c r="G853" s="1853" t="s">
        <v>4206</v>
      </c>
      <c r="H853" s="1853" t="s">
        <v>1</v>
      </c>
      <c r="I853" s="1853" t="s">
        <v>687</v>
      </c>
    </row>
    <row r="854" spans="1:9" ht="11.25" customHeight="1">
      <c r="A854" s="1853" t="s">
        <v>2101</v>
      </c>
      <c r="B854" s="1853" t="s">
        <v>0</v>
      </c>
      <c r="C854" s="1853" t="s">
        <v>2200</v>
      </c>
      <c r="D854" s="1853" t="s">
        <v>2201</v>
      </c>
      <c r="E854" s="1853" t="s">
        <v>2202</v>
      </c>
      <c r="F854" s="1853" t="s">
        <v>2203</v>
      </c>
      <c r="G854" s="1853" t="s">
        <v>1</v>
      </c>
      <c r="H854" s="1853" t="s">
        <v>1</v>
      </c>
      <c r="I854" s="1853" t="s">
        <v>687</v>
      </c>
    </row>
    <row r="855" spans="1:9" ht="11.25" customHeight="1">
      <c r="A855" s="1853" t="s">
        <v>2101</v>
      </c>
      <c r="B855" s="1853" t="s">
        <v>0</v>
      </c>
      <c r="C855" s="1853" t="s">
        <v>2208</v>
      </c>
      <c r="D855" s="1853" t="s">
        <v>2209</v>
      </c>
      <c r="E855" s="1853" t="s">
        <v>2210</v>
      </c>
      <c r="F855" s="1853" t="s">
        <v>2211</v>
      </c>
      <c r="G855" s="1853" t="s">
        <v>2212</v>
      </c>
      <c r="H855" s="1853" t="s">
        <v>1</v>
      </c>
      <c r="I855" s="1853" t="s">
        <v>687</v>
      </c>
    </row>
    <row r="856" spans="1:9" ht="11.25" customHeight="1">
      <c r="A856" s="1853" t="s">
        <v>2101</v>
      </c>
      <c r="B856" s="1853" t="s">
        <v>0</v>
      </c>
      <c r="C856" s="1853" t="s">
        <v>2213</v>
      </c>
      <c r="D856" s="1853" t="s">
        <v>2214</v>
      </c>
      <c r="E856" s="1853" t="s">
        <v>2215</v>
      </c>
      <c r="F856" s="1853" t="s">
        <v>2141</v>
      </c>
      <c r="G856" s="1853" t="s">
        <v>1</v>
      </c>
      <c r="H856" s="1853" t="s">
        <v>1</v>
      </c>
      <c r="I856" s="1853" t="s">
        <v>687</v>
      </c>
    </row>
    <row r="857" spans="1:9" ht="11.25" customHeight="1">
      <c r="A857" s="1853" t="s">
        <v>2101</v>
      </c>
      <c r="B857" s="1853" t="s">
        <v>0</v>
      </c>
      <c r="C857" s="1853" t="s">
        <v>2223</v>
      </c>
      <c r="D857" s="1853" t="s">
        <v>2224</v>
      </c>
      <c r="E857" s="1853" t="s">
        <v>2225</v>
      </c>
      <c r="F857" s="1853" t="s">
        <v>2178</v>
      </c>
      <c r="G857" s="1853" t="s">
        <v>2226</v>
      </c>
      <c r="H857" s="1853" t="s">
        <v>1</v>
      </c>
      <c r="I857" s="1853" t="s">
        <v>687</v>
      </c>
    </row>
    <row r="858" spans="1:9" ht="11.25" customHeight="1">
      <c r="A858" s="1853" t="s">
        <v>2101</v>
      </c>
      <c r="B858" s="1853" t="s">
        <v>0</v>
      </c>
      <c r="C858" s="1853" t="s">
        <v>2227</v>
      </c>
      <c r="D858" s="1853" t="s">
        <v>2228</v>
      </c>
      <c r="E858" s="1853" t="s">
        <v>2229</v>
      </c>
      <c r="F858" s="1853" t="s">
        <v>2230</v>
      </c>
      <c r="G858" s="1853" t="s">
        <v>2231</v>
      </c>
      <c r="H858" s="1853" t="s">
        <v>1</v>
      </c>
      <c r="I858" s="1853" t="s">
        <v>687</v>
      </c>
    </row>
    <row r="859" spans="1:9" ht="11.25" customHeight="1">
      <c r="A859" s="1853" t="s">
        <v>2101</v>
      </c>
      <c r="B859" s="1853" t="s">
        <v>0</v>
      </c>
      <c r="C859" s="1853" t="s">
        <v>2232</v>
      </c>
      <c r="D859" s="1853" t="s">
        <v>2233</v>
      </c>
      <c r="E859" s="1853" t="s">
        <v>2118</v>
      </c>
      <c r="F859" s="1853" t="s">
        <v>2234</v>
      </c>
      <c r="G859" s="1853" t="s">
        <v>2235</v>
      </c>
      <c r="H859" s="1853" t="s">
        <v>1</v>
      </c>
      <c r="I859" s="1853" t="s">
        <v>687</v>
      </c>
    </row>
    <row r="860" spans="1:9" ht="11.25" customHeight="1">
      <c r="A860" s="1853" t="s">
        <v>2101</v>
      </c>
      <c r="B860" s="1853" t="s">
        <v>0</v>
      </c>
      <c r="C860" s="1853" t="s">
        <v>2236</v>
      </c>
      <c r="D860" s="1853" t="s">
        <v>2237</v>
      </c>
      <c r="E860" s="1853" t="s">
        <v>2238</v>
      </c>
      <c r="F860" s="1853" t="s">
        <v>2239</v>
      </c>
      <c r="G860" s="1853" t="s">
        <v>2240</v>
      </c>
      <c r="H860" s="1853" t="s">
        <v>1</v>
      </c>
      <c r="I860" s="1853" t="s">
        <v>687</v>
      </c>
    </row>
    <row r="861" spans="1:9" ht="11.25" customHeight="1">
      <c r="A861" s="1853" t="s">
        <v>2101</v>
      </c>
      <c r="B861" s="1853" t="s">
        <v>0</v>
      </c>
      <c r="C861" s="1853" t="s">
        <v>4207</v>
      </c>
      <c r="D861" s="1853" t="s">
        <v>4208</v>
      </c>
      <c r="E861" s="1853" t="s">
        <v>4209</v>
      </c>
      <c r="F861" s="1853" t="s">
        <v>2416</v>
      </c>
      <c r="G861" s="1853" t="s">
        <v>4210</v>
      </c>
      <c r="H861" s="1853" t="s">
        <v>1</v>
      </c>
      <c r="I861" s="1853" t="s">
        <v>687</v>
      </c>
    </row>
    <row r="862" spans="1:9" ht="11.25" customHeight="1">
      <c r="A862" s="1853" t="s">
        <v>2101</v>
      </c>
      <c r="B862" s="1853" t="s">
        <v>0</v>
      </c>
      <c r="C862" s="1853" t="s">
        <v>2245</v>
      </c>
      <c r="D862" s="1853" t="s">
        <v>2246</v>
      </c>
      <c r="E862" s="1853" t="s">
        <v>2247</v>
      </c>
      <c r="F862" s="1853" t="s">
        <v>2248</v>
      </c>
      <c r="G862" s="1853" t="s">
        <v>1</v>
      </c>
      <c r="H862" s="1853" t="s">
        <v>1</v>
      </c>
      <c r="I862" s="1853" t="s">
        <v>687</v>
      </c>
    </row>
    <row r="863" spans="1:9" ht="11.25" customHeight="1">
      <c r="A863" s="1853" t="s">
        <v>2101</v>
      </c>
      <c r="B863" s="1853" t="s">
        <v>0</v>
      </c>
      <c r="C863" s="1853" t="s">
        <v>2249</v>
      </c>
      <c r="D863" s="1853" t="s">
        <v>2250</v>
      </c>
      <c r="E863" s="1853" t="s">
        <v>2247</v>
      </c>
      <c r="F863" s="1853" t="s">
        <v>2211</v>
      </c>
      <c r="G863" s="1853" t="s">
        <v>2251</v>
      </c>
      <c r="H863" s="1853" t="s">
        <v>1</v>
      </c>
      <c r="I863" s="1853" t="s">
        <v>687</v>
      </c>
    </row>
    <row r="864" spans="1:9" ht="11.25" customHeight="1">
      <c r="A864" s="1853" t="s">
        <v>2101</v>
      </c>
      <c r="B864" s="1853" t="s">
        <v>0</v>
      </c>
      <c r="C864" s="1853" t="s">
        <v>2252</v>
      </c>
      <c r="D864" s="1853" t="s">
        <v>2253</v>
      </c>
      <c r="E864" s="1853" t="s">
        <v>2254</v>
      </c>
      <c r="F864" s="1853" t="s">
        <v>2255</v>
      </c>
      <c r="G864" s="1853" t="s">
        <v>1</v>
      </c>
      <c r="H864" s="1853" t="s">
        <v>1</v>
      </c>
      <c r="I864" s="1853" t="s">
        <v>687</v>
      </c>
    </row>
    <row r="865" spans="1:9" ht="11.25" customHeight="1">
      <c r="A865" s="1853" t="s">
        <v>2101</v>
      </c>
      <c r="B865" s="1853" t="s">
        <v>0</v>
      </c>
      <c r="C865" s="1853" t="s">
        <v>2262</v>
      </c>
      <c r="D865" s="1853" t="s">
        <v>2263</v>
      </c>
      <c r="E865" s="1853" t="s">
        <v>2264</v>
      </c>
      <c r="F865" s="1853" t="s">
        <v>2239</v>
      </c>
      <c r="G865" s="1853" t="s">
        <v>1</v>
      </c>
      <c r="H865" s="1853" t="s">
        <v>1</v>
      </c>
      <c r="I865" s="1853" t="s">
        <v>687</v>
      </c>
    </row>
    <row r="866" spans="1:9" ht="11.25" customHeight="1">
      <c r="A866" s="1853" t="s">
        <v>2101</v>
      </c>
      <c r="B866" s="1853" t="s">
        <v>0</v>
      </c>
      <c r="C866" s="1853" t="s">
        <v>2269</v>
      </c>
      <c r="D866" s="1853" t="s">
        <v>2270</v>
      </c>
      <c r="E866" s="1853" t="s">
        <v>2271</v>
      </c>
      <c r="F866" s="1853" t="s">
        <v>2222</v>
      </c>
      <c r="G866" s="1853" t="s">
        <v>2272</v>
      </c>
      <c r="H866" s="1853" t="s">
        <v>1</v>
      </c>
      <c r="I866" s="1853" t="s">
        <v>687</v>
      </c>
    </row>
    <row r="867" spans="1:9" ht="11.25" customHeight="1">
      <c r="A867" s="1853" t="s">
        <v>2101</v>
      </c>
      <c r="B867" s="1853" t="s">
        <v>0</v>
      </c>
      <c r="C867" s="1853" t="s">
        <v>2276</v>
      </c>
      <c r="D867" s="1853" t="s">
        <v>2277</v>
      </c>
      <c r="E867" s="1853" t="s">
        <v>2271</v>
      </c>
      <c r="F867" s="1853" t="s">
        <v>2278</v>
      </c>
      <c r="G867" s="1853" t="s">
        <v>1</v>
      </c>
      <c r="H867" s="1853" t="s">
        <v>1</v>
      </c>
      <c r="I867" s="1853" t="s">
        <v>687</v>
      </c>
    </row>
    <row r="868" spans="1:9" ht="11.25" customHeight="1">
      <c r="A868" s="1853" t="s">
        <v>2101</v>
      </c>
      <c r="B868" s="1853" t="s">
        <v>0</v>
      </c>
      <c r="C868" s="1853" t="s">
        <v>2282</v>
      </c>
      <c r="D868" s="1853" t="s">
        <v>2283</v>
      </c>
      <c r="E868" s="1853" t="s">
        <v>2271</v>
      </c>
      <c r="F868" s="1853" t="s">
        <v>2284</v>
      </c>
      <c r="G868" s="1853" t="s">
        <v>1</v>
      </c>
      <c r="H868" s="1853" t="s">
        <v>1</v>
      </c>
      <c r="I868" s="1853" t="s">
        <v>687</v>
      </c>
    </row>
    <row r="869" spans="1:9" ht="11.25" customHeight="1">
      <c r="A869" s="1853" t="s">
        <v>2101</v>
      </c>
      <c r="B869" s="1853" t="s">
        <v>0</v>
      </c>
      <c r="C869" s="1853" t="s">
        <v>2288</v>
      </c>
      <c r="D869" s="1853" t="s">
        <v>2289</v>
      </c>
      <c r="E869" s="1853" t="s">
        <v>2271</v>
      </c>
      <c r="F869" s="1853" t="s">
        <v>2290</v>
      </c>
      <c r="G869" s="1853" t="s">
        <v>1</v>
      </c>
      <c r="H869" s="1853" t="s">
        <v>1</v>
      </c>
      <c r="I869" s="1853" t="s">
        <v>687</v>
      </c>
    </row>
    <row r="870" spans="1:9" ht="11.25" customHeight="1">
      <c r="A870" s="1853" t="s">
        <v>2101</v>
      </c>
      <c r="B870" s="1853" t="s">
        <v>0</v>
      </c>
      <c r="C870" s="1853" t="s">
        <v>2291</v>
      </c>
      <c r="D870" s="1853" t="s">
        <v>2292</v>
      </c>
      <c r="E870" s="1853" t="s">
        <v>2271</v>
      </c>
      <c r="F870" s="1853" t="s">
        <v>2293</v>
      </c>
      <c r="G870" s="1853" t="s">
        <v>1</v>
      </c>
      <c r="H870" s="1853" t="s">
        <v>1</v>
      </c>
      <c r="I870" s="1853" t="s">
        <v>687</v>
      </c>
    </row>
    <row r="871" spans="1:9" ht="11.25" customHeight="1">
      <c r="A871" s="1853" t="s">
        <v>2101</v>
      </c>
      <c r="B871" s="1853" t="s">
        <v>0</v>
      </c>
      <c r="C871" s="1853" t="s">
        <v>2297</v>
      </c>
      <c r="D871" s="1853" t="s">
        <v>2298</v>
      </c>
      <c r="E871" s="1853" t="s">
        <v>2271</v>
      </c>
      <c r="F871" s="1853" t="s">
        <v>2299</v>
      </c>
      <c r="G871" s="1853" t="s">
        <v>1</v>
      </c>
      <c r="H871" s="1853" t="s">
        <v>1</v>
      </c>
      <c r="I871" s="1853" t="s">
        <v>687</v>
      </c>
    </row>
    <row r="872" spans="1:9" ht="11.25" customHeight="1">
      <c r="A872" s="1853" t="s">
        <v>2101</v>
      </c>
      <c r="B872" s="1853" t="s">
        <v>0</v>
      </c>
      <c r="C872" s="1853" t="s">
        <v>2300</v>
      </c>
      <c r="D872" s="1853" t="s">
        <v>2301</v>
      </c>
      <c r="E872" s="1853" t="s">
        <v>2271</v>
      </c>
      <c r="F872" s="1853" t="s">
        <v>2302</v>
      </c>
      <c r="G872" s="1853" t="s">
        <v>1</v>
      </c>
      <c r="H872" s="1853" t="s">
        <v>1</v>
      </c>
      <c r="I872" s="1853" t="s">
        <v>687</v>
      </c>
    </row>
    <row r="873" spans="1:9" ht="11.25" customHeight="1">
      <c r="A873" s="1853" t="s">
        <v>2101</v>
      </c>
      <c r="B873" s="1853" t="s">
        <v>0</v>
      </c>
      <c r="C873" s="1853" t="s">
        <v>2312</v>
      </c>
      <c r="D873" s="1853" t="s">
        <v>2313</v>
      </c>
      <c r="E873" s="1853" t="s">
        <v>2314</v>
      </c>
      <c r="F873" s="1853" t="s">
        <v>2159</v>
      </c>
      <c r="G873" s="1853" t="s">
        <v>2315</v>
      </c>
      <c r="H873" s="1853" t="s">
        <v>1</v>
      </c>
      <c r="I873" s="1853" t="s">
        <v>687</v>
      </c>
    </row>
    <row r="874" spans="1:9" ht="11.25" customHeight="1">
      <c r="A874" s="1853" t="s">
        <v>2101</v>
      </c>
      <c r="B874" s="1853" t="s">
        <v>0</v>
      </c>
      <c r="C874" s="1853" t="s">
        <v>4211</v>
      </c>
      <c r="D874" s="1853" t="s">
        <v>4212</v>
      </c>
      <c r="E874" s="1853" t="s">
        <v>4213</v>
      </c>
      <c r="F874" s="1853" t="s">
        <v>2105</v>
      </c>
      <c r="G874" s="1853" t="s">
        <v>4214</v>
      </c>
      <c r="H874" s="1853" t="s">
        <v>1</v>
      </c>
      <c r="I874" s="1853" t="s">
        <v>687</v>
      </c>
    </row>
    <row r="875" spans="1:9" ht="11.25" customHeight="1">
      <c r="A875" s="1853" t="s">
        <v>2101</v>
      </c>
      <c r="B875" s="1853" t="s">
        <v>0</v>
      </c>
      <c r="C875" s="1853" t="s">
        <v>2319</v>
      </c>
      <c r="D875" s="1853" t="s">
        <v>2320</v>
      </c>
      <c r="E875" s="1853" t="s">
        <v>2321</v>
      </c>
      <c r="F875" s="1853" t="s">
        <v>2105</v>
      </c>
      <c r="G875" s="1853" t="s">
        <v>1</v>
      </c>
      <c r="H875" s="1853" t="s">
        <v>1</v>
      </c>
      <c r="I875" s="1853" t="s">
        <v>687</v>
      </c>
    </row>
    <row r="876" spans="1:9" ht="11.25" customHeight="1">
      <c r="A876" s="1853" t="s">
        <v>2101</v>
      </c>
      <c r="B876" s="1853" t="s">
        <v>0</v>
      </c>
      <c r="C876" s="1853" t="s">
        <v>2322</v>
      </c>
      <c r="D876" s="1853" t="s">
        <v>2323</v>
      </c>
      <c r="E876" s="1853" t="s">
        <v>2324</v>
      </c>
      <c r="F876" s="1853" t="s">
        <v>2159</v>
      </c>
      <c r="G876" s="1853" t="s">
        <v>2325</v>
      </c>
      <c r="H876" s="1853" t="s">
        <v>1</v>
      </c>
      <c r="I876" s="1853" t="s">
        <v>687</v>
      </c>
    </row>
    <row r="877" spans="1:9" ht="11.25" customHeight="1">
      <c r="A877" s="1853" t="s">
        <v>2101</v>
      </c>
      <c r="B877" s="1853" t="s">
        <v>0</v>
      </c>
      <c r="C877" s="1853" t="s">
        <v>2350</v>
      </c>
      <c r="D877" s="1853" t="s">
        <v>2351</v>
      </c>
      <c r="E877" s="1853" t="s">
        <v>2328</v>
      </c>
      <c r="F877" s="1853" t="s">
        <v>2352</v>
      </c>
      <c r="G877" s="1853" t="s">
        <v>1</v>
      </c>
      <c r="H877" s="1853" t="s">
        <v>1</v>
      </c>
      <c r="I877" s="1853" t="s">
        <v>687</v>
      </c>
    </row>
    <row r="878" spans="1:9" ht="11.25" customHeight="1">
      <c r="A878" s="1853" t="s">
        <v>2101</v>
      </c>
      <c r="B878" s="1853" t="s">
        <v>0</v>
      </c>
      <c r="C878" s="1853" t="s">
        <v>2356</v>
      </c>
      <c r="D878" s="1853" t="s">
        <v>2357</v>
      </c>
      <c r="E878" s="1853" t="s">
        <v>2328</v>
      </c>
      <c r="F878" s="1853" t="s">
        <v>2358</v>
      </c>
      <c r="G878" s="1853" t="s">
        <v>1</v>
      </c>
      <c r="H878" s="1853" t="s">
        <v>1</v>
      </c>
      <c r="I878" s="1853" t="s">
        <v>687</v>
      </c>
    </row>
    <row r="879" spans="1:9" ht="11.25" customHeight="1">
      <c r="A879" s="1853" t="s">
        <v>2101</v>
      </c>
      <c r="B879" s="1853" t="s">
        <v>0</v>
      </c>
      <c r="C879" s="1853" t="s">
        <v>2374</v>
      </c>
      <c r="D879" s="1853" t="s">
        <v>2375</v>
      </c>
      <c r="E879" s="1853" t="s">
        <v>2328</v>
      </c>
      <c r="F879" s="1853" t="s">
        <v>2376</v>
      </c>
      <c r="G879" s="1853" t="s">
        <v>1</v>
      </c>
      <c r="H879" s="1853" t="s">
        <v>1</v>
      </c>
      <c r="I879" s="1853" t="s">
        <v>687</v>
      </c>
    </row>
    <row r="880" spans="1:9" ht="11.25" customHeight="1">
      <c r="A880" s="1853" t="s">
        <v>2101</v>
      </c>
      <c r="B880" s="1853" t="s">
        <v>0</v>
      </c>
      <c r="C880" s="1853" t="s">
        <v>2380</v>
      </c>
      <c r="D880" s="1853" t="s">
        <v>2381</v>
      </c>
      <c r="E880" s="1853" t="s">
        <v>2382</v>
      </c>
      <c r="F880" s="1853" t="s">
        <v>2383</v>
      </c>
      <c r="G880" s="1853" t="s">
        <v>1</v>
      </c>
      <c r="H880" s="1853" t="s">
        <v>1</v>
      </c>
      <c r="I880" s="1853" t="s">
        <v>687</v>
      </c>
    </row>
    <row r="881" spans="1:9" ht="11.25" customHeight="1">
      <c r="A881" s="1853" t="s">
        <v>2101</v>
      </c>
      <c r="B881" s="1853" t="s">
        <v>0</v>
      </c>
      <c r="C881" s="1853" t="s">
        <v>2388</v>
      </c>
      <c r="D881" s="1853" t="s">
        <v>2389</v>
      </c>
      <c r="E881" s="1853" t="s">
        <v>2390</v>
      </c>
      <c r="F881" s="1853" t="s">
        <v>2149</v>
      </c>
      <c r="G881" s="1853" t="s">
        <v>1</v>
      </c>
      <c r="H881" s="1853" t="s">
        <v>1</v>
      </c>
      <c r="I881" s="1853" t="s">
        <v>687</v>
      </c>
    </row>
    <row r="882" spans="1:9" ht="11.25" customHeight="1">
      <c r="A882" s="1853" t="s">
        <v>2101</v>
      </c>
      <c r="B882" s="1853" t="s">
        <v>0</v>
      </c>
      <c r="C882" s="1853" t="s">
        <v>2394</v>
      </c>
      <c r="D882" s="1853" t="s">
        <v>2395</v>
      </c>
      <c r="E882" s="1853" t="s">
        <v>2396</v>
      </c>
      <c r="F882" s="1853" t="s">
        <v>2222</v>
      </c>
      <c r="G882" s="1853" t="s">
        <v>1</v>
      </c>
      <c r="H882" s="1853" t="s">
        <v>1</v>
      </c>
      <c r="I882" s="1853" t="s">
        <v>687</v>
      </c>
    </row>
    <row r="883" spans="1:9" ht="11.25" customHeight="1">
      <c r="A883" s="1853" t="s">
        <v>2101</v>
      </c>
      <c r="B883" s="1853" t="s">
        <v>0</v>
      </c>
      <c r="C883" s="1853" t="s">
        <v>2403</v>
      </c>
      <c r="D883" s="1853" t="s">
        <v>2404</v>
      </c>
      <c r="E883" s="1853" t="s">
        <v>2405</v>
      </c>
      <c r="F883" s="1853" t="s">
        <v>2230</v>
      </c>
      <c r="G883" s="1853" t="s">
        <v>2406</v>
      </c>
      <c r="H883" s="1853" t="s">
        <v>1</v>
      </c>
      <c r="I883" s="1853" t="s">
        <v>687</v>
      </c>
    </row>
    <row r="884" spans="1:9" ht="11.25" customHeight="1">
      <c r="A884" s="1853" t="s">
        <v>2101</v>
      </c>
      <c r="B884" s="1853" t="s">
        <v>0</v>
      </c>
      <c r="C884" s="1853" t="s">
        <v>2407</v>
      </c>
      <c r="D884" s="1853" t="s">
        <v>2408</v>
      </c>
      <c r="E884" s="1853" t="s">
        <v>2409</v>
      </c>
      <c r="F884" s="1853" t="s">
        <v>2211</v>
      </c>
      <c r="G884" s="1853" t="s">
        <v>1</v>
      </c>
      <c r="H884" s="1853" t="s">
        <v>1</v>
      </c>
      <c r="I884" s="1853" t="s">
        <v>687</v>
      </c>
    </row>
    <row r="885" spans="1:9" ht="11.25" customHeight="1">
      <c r="A885" s="1853" t="s">
        <v>2101</v>
      </c>
      <c r="B885" s="1853" t="s">
        <v>0</v>
      </c>
      <c r="C885" s="1853" t="s">
        <v>4215</v>
      </c>
      <c r="D885" s="1853" t="s">
        <v>4216</v>
      </c>
      <c r="E885" s="1853" t="s">
        <v>4217</v>
      </c>
      <c r="F885" s="1853" t="s">
        <v>2416</v>
      </c>
      <c r="G885" s="1853" t="s">
        <v>1</v>
      </c>
      <c r="H885" s="1853" t="s">
        <v>1</v>
      </c>
      <c r="I885" s="1853" t="s">
        <v>687</v>
      </c>
    </row>
    <row r="886" spans="1:9" ht="11.25" customHeight="1">
      <c r="A886" s="1853" t="s">
        <v>2101</v>
      </c>
      <c r="B886" s="1853" t="s">
        <v>0</v>
      </c>
      <c r="C886" s="1853" t="s">
        <v>2421</v>
      </c>
      <c r="D886" s="1853" t="s">
        <v>2422</v>
      </c>
      <c r="E886" s="1853" t="s">
        <v>2423</v>
      </c>
      <c r="F886" s="1853" t="s">
        <v>2424</v>
      </c>
      <c r="G886" s="1853" t="s">
        <v>2425</v>
      </c>
      <c r="H886" s="1853" t="s">
        <v>1</v>
      </c>
      <c r="I886" s="1853" t="s">
        <v>687</v>
      </c>
    </row>
    <row r="887" spans="1:9" ht="11.25" customHeight="1">
      <c r="A887" s="1853" t="s">
        <v>2101</v>
      </c>
      <c r="B887" s="1853" t="s">
        <v>0</v>
      </c>
      <c r="C887" s="1853" t="s">
        <v>4218</v>
      </c>
      <c r="D887" s="1853" t="s">
        <v>4219</v>
      </c>
      <c r="E887" s="1853" t="s">
        <v>4220</v>
      </c>
      <c r="F887" s="1853" t="s">
        <v>2424</v>
      </c>
      <c r="G887" s="1853" t="s">
        <v>4221</v>
      </c>
      <c r="H887" s="1853" t="s">
        <v>1</v>
      </c>
      <c r="I887" s="1853" t="s">
        <v>687</v>
      </c>
    </row>
    <row r="888" spans="1:9" ht="11.25" customHeight="1">
      <c r="A888" s="1853" t="s">
        <v>2101</v>
      </c>
      <c r="B888" s="1853" t="s">
        <v>0</v>
      </c>
      <c r="C888" s="1853" t="s">
        <v>2426</v>
      </c>
      <c r="D888" s="1853" t="s">
        <v>2427</v>
      </c>
      <c r="E888" s="1853" t="s">
        <v>2428</v>
      </c>
      <c r="F888" s="1853" t="s">
        <v>2230</v>
      </c>
      <c r="G888" s="1853" t="s">
        <v>2429</v>
      </c>
      <c r="H888" s="1853" t="s">
        <v>1</v>
      </c>
      <c r="I888" s="1853" t="s">
        <v>687</v>
      </c>
    </row>
    <row r="889" spans="1:9" ht="11.25" customHeight="1">
      <c r="A889" s="1853" t="s">
        <v>2101</v>
      </c>
      <c r="B889" s="1853" t="s">
        <v>0</v>
      </c>
      <c r="C889" s="1853" t="s">
        <v>2443</v>
      </c>
      <c r="D889" s="1853" t="s">
        <v>2444</v>
      </c>
      <c r="E889" s="1853" t="s">
        <v>2445</v>
      </c>
      <c r="F889" s="1853" t="s">
        <v>2207</v>
      </c>
      <c r="G889" s="1853" t="s">
        <v>2446</v>
      </c>
      <c r="H889" s="1853" t="s">
        <v>1</v>
      </c>
      <c r="I889" s="1853" t="s">
        <v>687</v>
      </c>
    </row>
    <row r="890" spans="1:9" ht="11.25" customHeight="1">
      <c r="A890" s="1853" t="s">
        <v>2101</v>
      </c>
      <c r="B890" s="1853" t="s">
        <v>0</v>
      </c>
      <c r="C890" s="1853" t="s">
        <v>2447</v>
      </c>
      <c r="D890" s="1853" t="s">
        <v>2448</v>
      </c>
      <c r="E890" s="1853" t="s">
        <v>2449</v>
      </c>
      <c r="F890" s="1853" t="s">
        <v>2105</v>
      </c>
      <c r="G890" s="1853" t="s">
        <v>1</v>
      </c>
      <c r="H890" s="1853" t="s">
        <v>1</v>
      </c>
      <c r="I890" s="1853" t="s">
        <v>687</v>
      </c>
    </row>
    <row r="891" spans="1:9" ht="11.25" customHeight="1">
      <c r="A891" s="1853" t="s">
        <v>2101</v>
      </c>
      <c r="B891" s="1853" t="s">
        <v>0</v>
      </c>
      <c r="C891" s="1853" t="s">
        <v>2457</v>
      </c>
      <c r="D891" s="1853" t="s">
        <v>2458</v>
      </c>
      <c r="E891" s="1853" t="s">
        <v>2459</v>
      </c>
      <c r="F891" s="1853" t="s">
        <v>2178</v>
      </c>
      <c r="G891" s="1853" t="s">
        <v>1</v>
      </c>
      <c r="H891" s="1853" t="s">
        <v>1</v>
      </c>
      <c r="I891" s="1853" t="s">
        <v>687</v>
      </c>
    </row>
    <row r="892" spans="1:9" ht="11.25" customHeight="1">
      <c r="A892" s="1853" t="s">
        <v>2101</v>
      </c>
      <c r="B892" s="1853" t="s">
        <v>0</v>
      </c>
      <c r="C892" s="1853" t="s">
        <v>2460</v>
      </c>
      <c r="D892" s="1853" t="s">
        <v>2461</v>
      </c>
      <c r="E892" s="1853" t="s">
        <v>2462</v>
      </c>
      <c r="F892" s="1853" t="s">
        <v>12</v>
      </c>
      <c r="G892" s="1853" t="s">
        <v>1</v>
      </c>
      <c r="H892" s="1853" t="s">
        <v>1</v>
      </c>
      <c r="I892" s="1853" t="s">
        <v>687</v>
      </c>
    </row>
    <row r="893" spans="1:9" ht="11.25" customHeight="1">
      <c r="A893" s="1853" t="s">
        <v>2101</v>
      </c>
      <c r="B893" s="1853" t="s">
        <v>0</v>
      </c>
      <c r="C893" s="1853" t="s">
        <v>2463</v>
      </c>
      <c r="D893" s="1853" t="s">
        <v>2464</v>
      </c>
      <c r="E893" s="1853" t="s">
        <v>2465</v>
      </c>
      <c r="F893" s="1853" t="s">
        <v>2466</v>
      </c>
      <c r="G893" s="1853" t="s">
        <v>2467</v>
      </c>
      <c r="H893" s="1853" t="s">
        <v>1</v>
      </c>
      <c r="I893" s="1853" t="s">
        <v>687</v>
      </c>
    </row>
    <row r="894" spans="1:9" ht="11.25" customHeight="1">
      <c r="A894" s="1853" t="s">
        <v>2101</v>
      </c>
      <c r="B894" s="1853" t="s">
        <v>0</v>
      </c>
      <c r="C894" s="1853" t="s">
        <v>2471</v>
      </c>
      <c r="D894" s="1853" t="s">
        <v>2472</v>
      </c>
      <c r="E894" s="1853" t="s">
        <v>2473</v>
      </c>
      <c r="F894" s="1853" t="s">
        <v>2474</v>
      </c>
      <c r="G894" s="1853" t="s">
        <v>1</v>
      </c>
      <c r="H894" s="1853" t="s">
        <v>1</v>
      </c>
      <c r="I894" s="1853" t="s">
        <v>687</v>
      </c>
    </row>
    <row r="895" spans="1:9" ht="11.25" customHeight="1">
      <c r="A895" s="1853" t="s">
        <v>2101</v>
      </c>
      <c r="B895" s="1853" t="s">
        <v>0</v>
      </c>
      <c r="C895" s="1853" t="s">
        <v>2475</v>
      </c>
      <c r="D895" s="1853" t="s">
        <v>2476</v>
      </c>
      <c r="E895" s="1853" t="s">
        <v>2473</v>
      </c>
      <c r="F895" s="1853" t="s">
        <v>2178</v>
      </c>
      <c r="G895" s="1853" t="s">
        <v>2325</v>
      </c>
      <c r="H895" s="1853" t="s">
        <v>1</v>
      </c>
      <c r="I895" s="1853" t="s">
        <v>687</v>
      </c>
    </row>
    <row r="896" spans="1:9" ht="11.25" customHeight="1">
      <c r="A896" s="1853" t="s">
        <v>2101</v>
      </c>
      <c r="B896" s="1853" t="s">
        <v>0</v>
      </c>
      <c r="C896" s="1853" t="s">
        <v>2500</v>
      </c>
      <c r="D896" s="1853" t="s">
        <v>2501</v>
      </c>
      <c r="E896" s="1853" t="s">
        <v>2502</v>
      </c>
      <c r="F896" s="1853" t="s">
        <v>2207</v>
      </c>
      <c r="G896" s="1853" t="s">
        <v>2503</v>
      </c>
      <c r="H896" s="1853" t="s">
        <v>1</v>
      </c>
      <c r="I896" s="1853" t="s">
        <v>687</v>
      </c>
    </row>
    <row r="897" spans="1:9" ht="11.25" customHeight="1">
      <c r="A897" s="1853" t="s">
        <v>2101</v>
      </c>
      <c r="B897" s="1853" t="s">
        <v>0</v>
      </c>
      <c r="C897" s="1853" t="s">
        <v>2507</v>
      </c>
      <c r="D897" s="1853" t="s">
        <v>2508</v>
      </c>
      <c r="E897" s="1853" t="s">
        <v>2254</v>
      </c>
      <c r="F897" s="1853" t="s">
        <v>2509</v>
      </c>
      <c r="G897" s="1853" t="s">
        <v>1</v>
      </c>
      <c r="H897" s="1853" t="s">
        <v>1</v>
      </c>
      <c r="I897" s="1853" t="s">
        <v>687</v>
      </c>
    </row>
    <row r="898" spans="1:9" ht="11.25" customHeight="1">
      <c r="A898" s="1853" t="s">
        <v>2101</v>
      </c>
      <c r="B898" s="1853" t="s">
        <v>0</v>
      </c>
      <c r="C898" s="1853" t="s">
        <v>2513</v>
      </c>
      <c r="D898" s="1853" t="s">
        <v>2514</v>
      </c>
      <c r="E898" s="1853" t="s">
        <v>2515</v>
      </c>
      <c r="F898" s="1853" t="s">
        <v>2329</v>
      </c>
      <c r="G898" s="1853" t="s">
        <v>1</v>
      </c>
      <c r="H898" s="1853" t="s">
        <v>1</v>
      </c>
      <c r="I898" s="1853" t="s">
        <v>687</v>
      </c>
    </row>
    <row r="899" spans="1:9" ht="11.25" customHeight="1">
      <c r="A899" s="1853" t="s">
        <v>2101</v>
      </c>
      <c r="B899" s="1853" t="s">
        <v>0</v>
      </c>
      <c r="C899" s="1853" t="s">
        <v>2519</v>
      </c>
      <c r="D899" s="1853" t="s">
        <v>2520</v>
      </c>
      <c r="E899" s="1853" t="s">
        <v>2382</v>
      </c>
      <c r="F899" s="1853" t="s">
        <v>2521</v>
      </c>
      <c r="G899" s="1853" t="s">
        <v>1</v>
      </c>
      <c r="H899" s="1853" t="s">
        <v>1</v>
      </c>
      <c r="I899" s="1853" t="s">
        <v>687</v>
      </c>
    </row>
    <row r="900" spans="1:9" ht="11.25" customHeight="1">
      <c r="A900" s="1853" t="s">
        <v>2101</v>
      </c>
      <c r="B900" s="1853" t="s">
        <v>0</v>
      </c>
      <c r="C900" s="1853" t="s">
        <v>2529</v>
      </c>
      <c r="D900" s="1853" t="s">
        <v>2530</v>
      </c>
      <c r="E900" s="1853" t="s">
        <v>2531</v>
      </c>
      <c r="F900" s="1853" t="s">
        <v>2222</v>
      </c>
      <c r="G900" s="1853" t="s">
        <v>1</v>
      </c>
      <c r="H900" s="1853" t="s">
        <v>1</v>
      </c>
      <c r="I900" s="1853" t="s">
        <v>687</v>
      </c>
    </row>
    <row r="901" spans="1:9" ht="11.25" customHeight="1">
      <c r="A901" s="1853" t="s">
        <v>2101</v>
      </c>
      <c r="B901" s="1853" t="s">
        <v>0</v>
      </c>
      <c r="C901" s="1853" t="s">
        <v>2532</v>
      </c>
      <c r="D901" s="1853" t="s">
        <v>2533</v>
      </c>
      <c r="E901" s="1853" t="s">
        <v>2534</v>
      </c>
      <c r="F901" s="1853" t="s">
        <v>2528</v>
      </c>
      <c r="G901" s="1853" t="s">
        <v>1</v>
      </c>
      <c r="H901" s="1853" t="s">
        <v>1</v>
      </c>
      <c r="I901" s="1853" t="s">
        <v>687</v>
      </c>
    </row>
    <row r="902" spans="1:9" ht="11.25" customHeight="1">
      <c r="A902" s="1853" t="s">
        <v>2101</v>
      </c>
      <c r="B902" s="1853" t="s">
        <v>0</v>
      </c>
      <c r="C902" s="1853" t="s">
        <v>2538</v>
      </c>
      <c r="D902" s="1853" t="s">
        <v>2539</v>
      </c>
      <c r="E902" s="1853" t="s">
        <v>2540</v>
      </c>
      <c r="F902" s="1853" t="s">
        <v>2230</v>
      </c>
      <c r="G902" s="1853" t="s">
        <v>1</v>
      </c>
      <c r="H902" s="1853" t="s">
        <v>1</v>
      </c>
      <c r="I902" s="1853" t="s">
        <v>687</v>
      </c>
    </row>
    <row r="903" spans="1:9" ht="11.25" customHeight="1">
      <c r="A903" s="1853" t="s">
        <v>2101</v>
      </c>
      <c r="B903" s="1853" t="s">
        <v>0</v>
      </c>
      <c r="C903" s="1853" t="s">
        <v>2541</v>
      </c>
      <c r="D903" s="1853" t="s">
        <v>2542</v>
      </c>
      <c r="E903" s="1853" t="s">
        <v>2543</v>
      </c>
      <c r="F903" s="1853" t="s">
        <v>2105</v>
      </c>
      <c r="G903" s="1853" t="s">
        <v>2544</v>
      </c>
      <c r="H903" s="1853" t="s">
        <v>1</v>
      </c>
      <c r="I903" s="1853" t="s">
        <v>687</v>
      </c>
    </row>
    <row r="904" spans="1:9" ht="11.25" customHeight="1">
      <c r="A904" s="1853" t="s">
        <v>2101</v>
      </c>
      <c r="B904" s="1853" t="s">
        <v>0</v>
      </c>
      <c r="C904" s="1853" t="s">
        <v>4222</v>
      </c>
      <c r="D904" s="1853" t="s">
        <v>4223</v>
      </c>
      <c r="E904" s="1853" t="s">
        <v>4224</v>
      </c>
      <c r="F904" s="1853" t="s">
        <v>2416</v>
      </c>
      <c r="G904" s="1853" t="s">
        <v>1</v>
      </c>
      <c r="H904" s="1853" t="s">
        <v>1</v>
      </c>
      <c r="I904" s="1853" t="s">
        <v>687</v>
      </c>
    </row>
    <row r="905" spans="1:9" ht="11.25" customHeight="1">
      <c r="A905" s="1853" t="s">
        <v>2101</v>
      </c>
      <c r="B905" s="1853" t="s">
        <v>0</v>
      </c>
      <c r="C905" s="1853" t="s">
        <v>2552</v>
      </c>
      <c r="D905" s="1853" t="s">
        <v>2553</v>
      </c>
      <c r="E905" s="1853" t="s">
        <v>2554</v>
      </c>
      <c r="F905" s="1853" t="s">
        <v>2132</v>
      </c>
      <c r="G905" s="1853" t="s">
        <v>1</v>
      </c>
      <c r="H905" s="1853" t="s">
        <v>1</v>
      </c>
      <c r="I905" s="1853" t="s">
        <v>687</v>
      </c>
    </row>
    <row r="906" spans="1:9" ht="11.25" customHeight="1">
      <c r="A906" s="1853" t="s">
        <v>2101</v>
      </c>
      <c r="B906" s="1853" t="s">
        <v>0</v>
      </c>
      <c r="C906" s="1853" t="s">
        <v>2565</v>
      </c>
      <c r="D906" s="1853" t="s">
        <v>2566</v>
      </c>
      <c r="E906" s="1853" t="s">
        <v>2567</v>
      </c>
      <c r="F906" s="1853" t="s">
        <v>2568</v>
      </c>
      <c r="G906" s="1853" t="s">
        <v>1</v>
      </c>
      <c r="H906" s="1853" t="s">
        <v>1</v>
      </c>
      <c r="I906" s="1853" t="s">
        <v>687</v>
      </c>
    </row>
    <row r="907" spans="1:9" ht="11.25" customHeight="1">
      <c r="A907" s="1853" t="s">
        <v>2101</v>
      </c>
      <c r="B907" s="1853" t="s">
        <v>0</v>
      </c>
      <c r="C907" s="1853" t="s">
        <v>2569</v>
      </c>
      <c r="D907" s="1853" t="s">
        <v>2570</v>
      </c>
      <c r="E907" s="1853" t="s">
        <v>2571</v>
      </c>
      <c r="F907" s="1853" t="s">
        <v>2572</v>
      </c>
      <c r="G907" s="1853" t="s">
        <v>2573</v>
      </c>
      <c r="H907" s="1853" t="s">
        <v>1</v>
      </c>
      <c r="I907" s="1853" t="s">
        <v>687</v>
      </c>
    </row>
    <row r="908" spans="1:9" ht="11.25" customHeight="1">
      <c r="A908" s="1853" t="s">
        <v>2101</v>
      </c>
      <c r="B908" s="1853" t="s">
        <v>0</v>
      </c>
      <c r="C908" s="1853" t="s">
        <v>4225</v>
      </c>
      <c r="D908" s="1853" t="s">
        <v>4226</v>
      </c>
      <c r="E908" s="1853" t="s">
        <v>4227</v>
      </c>
      <c r="F908" s="1853" t="s">
        <v>2936</v>
      </c>
      <c r="G908" s="1853" t="s">
        <v>1</v>
      </c>
      <c r="H908" s="1853" t="s">
        <v>1</v>
      </c>
      <c r="I908" s="1853" t="s">
        <v>687</v>
      </c>
    </row>
    <row r="909" spans="1:9" ht="11.25" customHeight="1">
      <c r="A909" s="1853" t="s">
        <v>2101</v>
      </c>
      <c r="B909" s="1853" t="s">
        <v>0</v>
      </c>
      <c r="C909" s="1853" t="s">
        <v>2580</v>
      </c>
      <c r="D909" s="1853" t="s">
        <v>2581</v>
      </c>
      <c r="E909" s="1853" t="s">
        <v>2582</v>
      </c>
      <c r="F909" s="1853" t="s">
        <v>2178</v>
      </c>
      <c r="G909" s="1853" t="s">
        <v>1</v>
      </c>
      <c r="H909" s="1853" t="s">
        <v>1</v>
      </c>
      <c r="I909" s="1853" t="s">
        <v>687</v>
      </c>
    </row>
    <row r="910" spans="1:9" ht="11.25" customHeight="1">
      <c r="A910" s="1853" t="s">
        <v>2101</v>
      </c>
      <c r="B910" s="1853" t="s">
        <v>0</v>
      </c>
      <c r="C910" s="1853" t="s">
        <v>2590</v>
      </c>
      <c r="D910" s="1853" t="s">
        <v>2591</v>
      </c>
      <c r="E910" s="1853" t="s">
        <v>2592</v>
      </c>
      <c r="F910" s="1853" t="s">
        <v>2149</v>
      </c>
      <c r="G910" s="1853" t="s">
        <v>1</v>
      </c>
      <c r="H910" s="1853" t="s">
        <v>1</v>
      </c>
      <c r="I910" s="1853" t="s">
        <v>687</v>
      </c>
    </row>
    <row r="911" spans="1:9" ht="11.25" customHeight="1">
      <c r="A911" s="1853" t="s">
        <v>2101</v>
      </c>
      <c r="B911" s="1853" t="s">
        <v>0</v>
      </c>
      <c r="C911" s="1853" t="s">
        <v>4228</v>
      </c>
      <c r="D911" s="1853" t="s">
        <v>4229</v>
      </c>
      <c r="E911" s="1853" t="s">
        <v>4230</v>
      </c>
      <c r="F911" s="1853" t="s">
        <v>12</v>
      </c>
      <c r="G911" s="1853" t="s">
        <v>4231</v>
      </c>
      <c r="H911" s="1853" t="s">
        <v>1</v>
      </c>
      <c r="I911" s="1853" t="s">
        <v>687</v>
      </c>
    </row>
    <row r="912" spans="1:9" ht="11.25" customHeight="1">
      <c r="A912" s="1853" t="s">
        <v>2101</v>
      </c>
      <c r="B912" s="1853" t="s">
        <v>0</v>
      </c>
      <c r="C912" s="1853" t="s">
        <v>2593</v>
      </c>
      <c r="D912" s="1853" t="s">
        <v>2594</v>
      </c>
      <c r="E912" s="1853" t="s">
        <v>2595</v>
      </c>
      <c r="F912" s="1853" t="s">
        <v>12</v>
      </c>
      <c r="G912" s="1853" t="s">
        <v>2596</v>
      </c>
      <c r="H912" s="1853" t="s">
        <v>1</v>
      </c>
      <c r="I912" s="1853" t="s">
        <v>687</v>
      </c>
    </row>
    <row r="913" spans="1:9" ht="11.25" customHeight="1">
      <c r="A913" s="1853" t="s">
        <v>2101</v>
      </c>
      <c r="B913" s="1853" t="s">
        <v>0</v>
      </c>
      <c r="C913" s="1853" t="s">
        <v>2610</v>
      </c>
      <c r="D913" s="1853" t="s">
        <v>2611</v>
      </c>
      <c r="E913" s="1853" t="s">
        <v>2612</v>
      </c>
      <c r="F913" s="1853" t="s">
        <v>2613</v>
      </c>
      <c r="G913" s="1853" t="s">
        <v>1</v>
      </c>
      <c r="H913" s="1853" t="s">
        <v>1</v>
      </c>
      <c r="I913" s="1853" t="s">
        <v>687</v>
      </c>
    </row>
    <row r="914" spans="1:9" ht="11.25" customHeight="1">
      <c r="A914" s="1853" t="s">
        <v>2101</v>
      </c>
      <c r="B914" s="1853" t="s">
        <v>0</v>
      </c>
      <c r="C914" s="1853" t="s">
        <v>2617</v>
      </c>
      <c r="D914" s="1853" t="s">
        <v>2618</v>
      </c>
      <c r="E914" s="1853" t="s">
        <v>2619</v>
      </c>
      <c r="F914" s="1853" t="s">
        <v>2222</v>
      </c>
      <c r="G914" s="1853" t="s">
        <v>2620</v>
      </c>
      <c r="H914" s="1853" t="s">
        <v>1</v>
      </c>
      <c r="I914" s="1853" t="s">
        <v>687</v>
      </c>
    </row>
    <row r="915" spans="1:9" ht="11.25" customHeight="1">
      <c r="A915" s="1853" t="s">
        <v>2101</v>
      </c>
      <c r="B915" s="1853" t="s">
        <v>0</v>
      </c>
      <c r="C915" s="1853" t="s">
        <v>4232</v>
      </c>
      <c r="D915" s="1853" t="s">
        <v>4233</v>
      </c>
      <c r="E915" s="1853" t="s">
        <v>4234</v>
      </c>
      <c r="F915" s="1853" t="s">
        <v>493</v>
      </c>
      <c r="G915" s="1853" t="s">
        <v>1</v>
      </c>
      <c r="H915" s="1853" t="s">
        <v>1</v>
      </c>
      <c r="I915" s="1853" t="s">
        <v>687</v>
      </c>
    </row>
    <row r="916" spans="1:9" ht="11.25" customHeight="1">
      <c r="A916" s="1853" t="s">
        <v>2101</v>
      </c>
      <c r="B916" s="1853" t="s">
        <v>0</v>
      </c>
      <c r="C916" s="1853" t="s">
        <v>4235</v>
      </c>
      <c r="D916" s="1853" t="s">
        <v>4236</v>
      </c>
      <c r="E916" s="1853" t="s">
        <v>4237</v>
      </c>
      <c r="F916" s="1853" t="s">
        <v>493</v>
      </c>
      <c r="G916" s="1853" t="s">
        <v>4238</v>
      </c>
      <c r="H916" s="1853" t="s">
        <v>1</v>
      </c>
      <c r="I916" s="1853" t="s">
        <v>687</v>
      </c>
    </row>
    <row r="917" spans="1:9" ht="11.25" customHeight="1">
      <c r="A917" s="1853" t="s">
        <v>2101</v>
      </c>
      <c r="B917" s="1853" t="s">
        <v>0</v>
      </c>
      <c r="C917" s="1853" t="s">
        <v>2652</v>
      </c>
      <c r="D917" s="1853" t="s">
        <v>2653</v>
      </c>
      <c r="E917" s="1853" t="s">
        <v>2654</v>
      </c>
      <c r="F917" s="1853" t="s">
        <v>493</v>
      </c>
      <c r="G917" s="1853" t="s">
        <v>2655</v>
      </c>
      <c r="H917" s="1853" t="s">
        <v>1</v>
      </c>
      <c r="I917" s="1853" t="s">
        <v>687</v>
      </c>
    </row>
    <row r="918" spans="1:9" ht="11.25" customHeight="1">
      <c r="A918" s="1853" t="s">
        <v>2101</v>
      </c>
      <c r="B918" s="1853" t="s">
        <v>0</v>
      </c>
      <c r="C918" s="1853" t="s">
        <v>2677</v>
      </c>
      <c r="D918" s="1853" t="s">
        <v>2678</v>
      </c>
      <c r="E918" s="1853" t="s">
        <v>2679</v>
      </c>
      <c r="F918" s="1853" t="s">
        <v>2239</v>
      </c>
      <c r="G918" s="1853" t="s">
        <v>1</v>
      </c>
      <c r="H918" s="1853" t="s">
        <v>1</v>
      </c>
      <c r="I918" s="1853" t="s">
        <v>687</v>
      </c>
    </row>
    <row r="919" spans="1:9" ht="11.25" customHeight="1">
      <c r="A919" s="1853" t="s">
        <v>2101</v>
      </c>
      <c r="B919" s="1853" t="s">
        <v>0</v>
      </c>
      <c r="C919" s="1853" t="s">
        <v>2680</v>
      </c>
      <c r="D919" s="1853" t="s">
        <v>2681</v>
      </c>
      <c r="E919" s="1853" t="s">
        <v>2682</v>
      </c>
      <c r="F919" s="1853" t="s">
        <v>2683</v>
      </c>
      <c r="G919" s="1853" t="s">
        <v>1</v>
      </c>
      <c r="H919" s="1853" t="s">
        <v>1</v>
      </c>
      <c r="I919" s="1853" t="s">
        <v>687</v>
      </c>
    </row>
    <row r="920" spans="1:9" ht="11.25" customHeight="1">
      <c r="A920" s="1853" t="s">
        <v>2101</v>
      </c>
      <c r="B920" s="1853" t="s">
        <v>0</v>
      </c>
      <c r="C920" s="1853" t="s">
        <v>4239</v>
      </c>
      <c r="D920" s="1853" t="s">
        <v>4240</v>
      </c>
      <c r="E920" s="1853" t="s">
        <v>4241</v>
      </c>
      <c r="F920" s="1853" t="s">
        <v>2683</v>
      </c>
      <c r="G920" s="1853" t="s">
        <v>1</v>
      </c>
      <c r="H920" s="1853" t="s">
        <v>1</v>
      </c>
      <c r="I920" s="1853" t="s">
        <v>687</v>
      </c>
    </row>
    <row r="921" spans="1:9" ht="11.25" customHeight="1">
      <c r="A921" s="1853" t="s">
        <v>2101</v>
      </c>
      <c r="B921" s="1853" t="s">
        <v>0</v>
      </c>
      <c r="C921" s="1853" t="s">
        <v>4242</v>
      </c>
      <c r="D921" s="1853" t="s">
        <v>4243</v>
      </c>
      <c r="E921" s="1853" t="s">
        <v>4244</v>
      </c>
      <c r="F921" s="1853" t="s">
        <v>3087</v>
      </c>
      <c r="G921" s="1853" t="s">
        <v>1</v>
      </c>
      <c r="H921" s="1853" t="s">
        <v>1</v>
      </c>
      <c r="I921" s="1853" t="s">
        <v>687</v>
      </c>
    </row>
    <row r="922" spans="1:9" ht="11.25" customHeight="1">
      <c r="A922" s="1853" t="s">
        <v>2101</v>
      </c>
      <c r="B922" s="1853" t="s">
        <v>0</v>
      </c>
      <c r="C922" s="1853" t="s">
        <v>2687</v>
      </c>
      <c r="D922" s="1853" t="s">
        <v>2688</v>
      </c>
      <c r="E922" s="1853" t="s">
        <v>2689</v>
      </c>
      <c r="F922" s="1853" t="s">
        <v>2424</v>
      </c>
      <c r="G922" s="1853" t="s">
        <v>1</v>
      </c>
      <c r="H922" s="1853" t="s">
        <v>1</v>
      </c>
      <c r="I922" s="1853" t="s">
        <v>687</v>
      </c>
    </row>
    <row r="923" spans="1:9" ht="11.25" customHeight="1">
      <c r="A923" s="1853" t="s">
        <v>2101</v>
      </c>
      <c r="B923" s="1853" t="s">
        <v>0</v>
      </c>
      <c r="C923" s="1853" t="s">
        <v>4245</v>
      </c>
      <c r="D923" s="1853" t="s">
        <v>4246</v>
      </c>
      <c r="E923" s="1853" t="s">
        <v>4247</v>
      </c>
      <c r="F923" s="1853" t="s">
        <v>2424</v>
      </c>
      <c r="G923" s="1853" t="s">
        <v>1</v>
      </c>
      <c r="H923" s="1853" t="s">
        <v>1</v>
      </c>
      <c r="I923" s="1853" t="s">
        <v>687</v>
      </c>
    </row>
    <row r="924" spans="1:9" ht="11.25" customHeight="1">
      <c r="A924" s="1853" t="s">
        <v>2101</v>
      </c>
      <c r="B924" s="1853" t="s">
        <v>0</v>
      </c>
      <c r="C924" s="1853" t="s">
        <v>4248</v>
      </c>
      <c r="D924" s="1853" t="s">
        <v>4249</v>
      </c>
      <c r="E924" s="1853" t="s">
        <v>4250</v>
      </c>
      <c r="F924" s="1853" t="s">
        <v>2196</v>
      </c>
      <c r="G924" s="1853" t="s">
        <v>1</v>
      </c>
      <c r="H924" s="1853" t="s">
        <v>1</v>
      </c>
      <c r="I924" s="1853" t="s">
        <v>687</v>
      </c>
    </row>
    <row r="925" spans="1:9" ht="11.25" customHeight="1">
      <c r="A925" s="1853" t="s">
        <v>2101</v>
      </c>
      <c r="B925" s="1853" t="s">
        <v>0</v>
      </c>
      <c r="C925" s="1853" t="s">
        <v>4251</v>
      </c>
      <c r="D925" s="1853" t="s">
        <v>4252</v>
      </c>
      <c r="E925" s="1853" t="s">
        <v>4253</v>
      </c>
      <c r="F925" s="1853" t="s">
        <v>2196</v>
      </c>
      <c r="G925" s="1853" t="s">
        <v>1</v>
      </c>
      <c r="H925" s="1853" t="s">
        <v>1</v>
      </c>
      <c r="I925" s="1853" t="s">
        <v>687</v>
      </c>
    </row>
    <row r="926" spans="1:9" ht="11.25" customHeight="1">
      <c r="A926" s="1853" t="s">
        <v>2101</v>
      </c>
      <c r="B926" s="1853" t="s">
        <v>0</v>
      </c>
      <c r="C926" s="1853" t="s">
        <v>4254</v>
      </c>
      <c r="D926" s="1853" t="s">
        <v>4255</v>
      </c>
      <c r="E926" s="1853" t="s">
        <v>4256</v>
      </c>
      <c r="F926" s="1853" t="s">
        <v>2708</v>
      </c>
      <c r="G926" s="1853" t="s">
        <v>1</v>
      </c>
      <c r="H926" s="1853" t="s">
        <v>1</v>
      </c>
      <c r="I926" s="1853" t="s">
        <v>687</v>
      </c>
    </row>
    <row r="927" spans="1:9" ht="11.25" customHeight="1">
      <c r="A927" s="1853" t="s">
        <v>2101</v>
      </c>
      <c r="B927" s="1853" t="s">
        <v>0</v>
      </c>
      <c r="C927" s="1853" t="s">
        <v>2690</v>
      </c>
      <c r="D927" s="1853" t="s">
        <v>2691</v>
      </c>
      <c r="E927" s="1853" t="s">
        <v>2692</v>
      </c>
      <c r="F927" s="1853" t="s">
        <v>2141</v>
      </c>
      <c r="G927" s="1853" t="s">
        <v>1</v>
      </c>
      <c r="H927" s="1853" t="s">
        <v>1</v>
      </c>
      <c r="I927" s="1853" t="s">
        <v>687</v>
      </c>
    </row>
    <row r="928" spans="1:9" ht="11.25" customHeight="1">
      <c r="A928" s="1853" t="s">
        <v>2101</v>
      </c>
      <c r="B928" s="1853" t="s">
        <v>0</v>
      </c>
      <c r="C928" s="1853" t="s">
        <v>4257</v>
      </c>
      <c r="D928" s="1853" t="s">
        <v>4258</v>
      </c>
      <c r="E928" s="1853" t="s">
        <v>4259</v>
      </c>
      <c r="F928" s="1853" t="s">
        <v>2528</v>
      </c>
      <c r="G928" s="1853" t="s">
        <v>1</v>
      </c>
      <c r="H928" s="1853" t="s">
        <v>1</v>
      </c>
      <c r="I928" s="1853" t="s">
        <v>687</v>
      </c>
    </row>
    <row r="929" spans="1:9" ht="11.25" customHeight="1">
      <c r="A929" s="1853" t="s">
        <v>2101</v>
      </c>
      <c r="B929" s="1853" t="s">
        <v>0</v>
      </c>
      <c r="C929" s="1853" t="s">
        <v>4260</v>
      </c>
      <c r="D929" s="1853" t="s">
        <v>4261</v>
      </c>
      <c r="E929" s="1853" t="s">
        <v>4262</v>
      </c>
      <c r="F929" s="1853" t="s">
        <v>2191</v>
      </c>
      <c r="G929" s="1853" t="s">
        <v>1</v>
      </c>
      <c r="H929" s="1853" t="s">
        <v>1</v>
      </c>
      <c r="I929" s="1853" t="s">
        <v>687</v>
      </c>
    </row>
    <row r="930" spans="1:9" ht="11.25" customHeight="1">
      <c r="A930" s="1853" t="s">
        <v>2101</v>
      </c>
      <c r="B930" s="1853" t="s">
        <v>0</v>
      </c>
      <c r="C930" s="1853" t="s">
        <v>2699</v>
      </c>
      <c r="D930" s="1853" t="s">
        <v>2700</v>
      </c>
      <c r="E930" s="1853" t="s">
        <v>2701</v>
      </c>
      <c r="F930" s="1853" t="s">
        <v>2141</v>
      </c>
      <c r="G930" s="1853" t="s">
        <v>1</v>
      </c>
      <c r="H930" s="1853" t="s">
        <v>1</v>
      </c>
      <c r="I930" s="1853" t="s">
        <v>687</v>
      </c>
    </row>
    <row r="931" spans="1:9" ht="11.25" customHeight="1">
      <c r="A931" s="1853" t="s">
        <v>2101</v>
      </c>
      <c r="B931" s="1853" t="s">
        <v>0</v>
      </c>
      <c r="C931" s="1853" t="s">
        <v>2702</v>
      </c>
      <c r="D931" s="1853" t="s">
        <v>2703</v>
      </c>
      <c r="E931" s="1853" t="s">
        <v>2704</v>
      </c>
      <c r="F931" s="1853" t="s">
        <v>2141</v>
      </c>
      <c r="G931" s="1853" t="s">
        <v>1</v>
      </c>
      <c r="H931" s="1853" t="s">
        <v>1</v>
      </c>
      <c r="I931" s="1853" t="s">
        <v>687</v>
      </c>
    </row>
    <row r="932" spans="1:9" ht="11.25" customHeight="1">
      <c r="A932" s="1853" t="s">
        <v>2101</v>
      </c>
      <c r="B932" s="1853" t="s">
        <v>0</v>
      </c>
      <c r="C932" s="1853" t="s">
        <v>4263</v>
      </c>
      <c r="D932" s="1853" t="s">
        <v>4264</v>
      </c>
      <c r="E932" s="1853" t="s">
        <v>4265</v>
      </c>
      <c r="F932" s="1853" t="s">
        <v>2141</v>
      </c>
      <c r="G932" s="1853" t="s">
        <v>1</v>
      </c>
      <c r="H932" s="1853" t="s">
        <v>1</v>
      </c>
      <c r="I932" s="1853" t="s">
        <v>687</v>
      </c>
    </row>
    <row r="933" spans="1:9" ht="11.25" customHeight="1">
      <c r="A933" s="1853" t="s">
        <v>2101</v>
      </c>
      <c r="B933" s="1853" t="s">
        <v>0</v>
      </c>
      <c r="C933" s="1853" t="s">
        <v>4266</v>
      </c>
      <c r="D933" s="1853" t="s">
        <v>4267</v>
      </c>
      <c r="E933" s="1853" t="s">
        <v>4268</v>
      </c>
      <c r="F933" s="1853" t="s">
        <v>2191</v>
      </c>
      <c r="G933" s="1853" t="s">
        <v>1</v>
      </c>
      <c r="H933" s="1853" t="s">
        <v>1</v>
      </c>
      <c r="I933" s="1853" t="s">
        <v>687</v>
      </c>
    </row>
    <row r="934" spans="1:9" ht="11.25" customHeight="1">
      <c r="A934" s="1853" t="s">
        <v>2101</v>
      </c>
      <c r="B934" s="1853" t="s">
        <v>0</v>
      </c>
      <c r="C934" s="1853" t="s">
        <v>4269</v>
      </c>
      <c r="D934" s="1853" t="s">
        <v>4270</v>
      </c>
      <c r="E934" s="1853" t="s">
        <v>4271</v>
      </c>
      <c r="F934" s="1853" t="s">
        <v>2191</v>
      </c>
      <c r="G934" s="1853" t="s">
        <v>1</v>
      </c>
      <c r="H934" s="1853" t="s">
        <v>1</v>
      </c>
      <c r="I934" s="1853" t="s">
        <v>687</v>
      </c>
    </row>
    <row r="935" spans="1:9" ht="11.25" customHeight="1">
      <c r="A935" s="1853" t="s">
        <v>2101</v>
      </c>
      <c r="B935" s="1853" t="s">
        <v>0</v>
      </c>
      <c r="C935" s="1853" t="s">
        <v>2715</v>
      </c>
      <c r="D935" s="1853" t="s">
        <v>2716</v>
      </c>
      <c r="E935" s="1853" t="s">
        <v>2717</v>
      </c>
      <c r="F935" s="1853" t="s">
        <v>2708</v>
      </c>
      <c r="G935" s="1853" t="s">
        <v>1</v>
      </c>
      <c r="H935" s="1853" t="s">
        <v>1</v>
      </c>
      <c r="I935" s="1853" t="s">
        <v>687</v>
      </c>
    </row>
    <row r="936" spans="1:9" ht="11.25" customHeight="1">
      <c r="A936" s="1853" t="s">
        <v>2101</v>
      </c>
      <c r="B936" s="1853" t="s">
        <v>0</v>
      </c>
      <c r="C936" s="1853" t="s">
        <v>2718</v>
      </c>
      <c r="D936" s="1853" t="s">
        <v>2719</v>
      </c>
      <c r="E936" s="1853" t="s">
        <v>2720</v>
      </c>
      <c r="F936" s="1853" t="s">
        <v>2196</v>
      </c>
      <c r="G936" s="1853" t="s">
        <v>1</v>
      </c>
      <c r="H936" s="1853" t="s">
        <v>1</v>
      </c>
      <c r="I936" s="1853" t="s">
        <v>687</v>
      </c>
    </row>
    <row r="937" spans="1:9" ht="11.25" customHeight="1">
      <c r="A937" s="1853" t="s">
        <v>2101</v>
      </c>
      <c r="B937" s="1853" t="s">
        <v>0</v>
      </c>
      <c r="C937" s="1853" t="s">
        <v>4272</v>
      </c>
      <c r="D937" s="1853" t="s">
        <v>4273</v>
      </c>
      <c r="E937" s="1853" t="s">
        <v>4274</v>
      </c>
      <c r="F937" s="1853" t="s">
        <v>2424</v>
      </c>
      <c r="G937" s="1853" t="s">
        <v>1</v>
      </c>
      <c r="H937" s="1853" t="s">
        <v>1</v>
      </c>
      <c r="I937" s="1853" t="s">
        <v>687</v>
      </c>
    </row>
    <row r="938" spans="1:9" ht="11.25" customHeight="1">
      <c r="A938" s="1853" t="s">
        <v>2101</v>
      </c>
      <c r="B938" s="1853" t="s">
        <v>0</v>
      </c>
      <c r="C938" s="1853" t="s">
        <v>2721</v>
      </c>
      <c r="D938" s="1853" t="s">
        <v>2722</v>
      </c>
      <c r="E938" s="1853" t="s">
        <v>2723</v>
      </c>
      <c r="F938" s="1853" t="s">
        <v>2572</v>
      </c>
      <c r="G938" s="1853" t="s">
        <v>2724</v>
      </c>
      <c r="H938" s="1853" t="s">
        <v>1</v>
      </c>
      <c r="I938" s="1853" t="s">
        <v>687</v>
      </c>
    </row>
    <row r="939" spans="1:9" ht="11.25" customHeight="1">
      <c r="A939" s="1853" t="s">
        <v>2101</v>
      </c>
      <c r="B939" s="1853" t="s">
        <v>0</v>
      </c>
      <c r="C939" s="1853" t="s">
        <v>4275</v>
      </c>
      <c r="D939" s="1853" t="s">
        <v>4276</v>
      </c>
      <c r="E939" s="1853" t="s">
        <v>4277</v>
      </c>
      <c r="F939" s="1853" t="s">
        <v>2424</v>
      </c>
      <c r="G939" s="1853" t="s">
        <v>1</v>
      </c>
      <c r="H939" s="1853" t="s">
        <v>1</v>
      </c>
      <c r="I939" s="1853" t="s">
        <v>687</v>
      </c>
    </row>
    <row r="940" spans="1:9" ht="11.25" customHeight="1">
      <c r="A940" s="1853" t="s">
        <v>2101</v>
      </c>
      <c r="B940" s="1853" t="s">
        <v>0</v>
      </c>
      <c r="C940" s="1853" t="s">
        <v>4278</v>
      </c>
      <c r="D940" s="1853" t="s">
        <v>4279</v>
      </c>
      <c r="E940" s="1853" t="s">
        <v>4280</v>
      </c>
      <c r="F940" s="1853" t="s">
        <v>2178</v>
      </c>
      <c r="G940" s="1853" t="s">
        <v>1</v>
      </c>
      <c r="H940" s="1853" t="s">
        <v>1</v>
      </c>
      <c r="I940" s="1853" t="s">
        <v>687</v>
      </c>
    </row>
    <row r="941" spans="1:9" ht="11.25" customHeight="1">
      <c r="A941" s="1853" t="s">
        <v>2101</v>
      </c>
      <c r="B941" s="1853" t="s">
        <v>0</v>
      </c>
      <c r="C941" s="1853" t="s">
        <v>2728</v>
      </c>
      <c r="D941" s="1853" t="s">
        <v>2729</v>
      </c>
      <c r="E941" s="1853" t="s">
        <v>2730</v>
      </c>
      <c r="F941" s="1853" t="s">
        <v>2416</v>
      </c>
      <c r="G941" s="1853" t="s">
        <v>1</v>
      </c>
      <c r="H941" s="1853" t="s">
        <v>1</v>
      </c>
      <c r="I941" s="1853" t="s">
        <v>687</v>
      </c>
    </row>
    <row r="942" spans="1:9" ht="11.25" customHeight="1">
      <c r="A942" s="1853" t="s">
        <v>2101</v>
      </c>
      <c r="B942" s="1853" t="s">
        <v>0</v>
      </c>
      <c r="C942" s="1853" t="s">
        <v>4281</v>
      </c>
      <c r="D942" s="1853" t="s">
        <v>4282</v>
      </c>
      <c r="E942" s="1853" t="s">
        <v>4283</v>
      </c>
      <c r="F942" s="1853" t="s">
        <v>2187</v>
      </c>
      <c r="G942" s="1853" t="s">
        <v>1</v>
      </c>
      <c r="H942" s="1853" t="s">
        <v>1</v>
      </c>
      <c r="I942" s="1853" t="s">
        <v>687</v>
      </c>
    </row>
    <row r="943" spans="1:9" ht="11.25" customHeight="1">
      <c r="A943" s="1853" t="s">
        <v>2101</v>
      </c>
      <c r="B943" s="1853" t="s">
        <v>0</v>
      </c>
      <c r="C943" s="1853" t="s">
        <v>4284</v>
      </c>
      <c r="D943" s="1853" t="s">
        <v>4285</v>
      </c>
      <c r="E943" s="1853" t="s">
        <v>4286</v>
      </c>
      <c r="F943" s="1853" t="s">
        <v>3087</v>
      </c>
      <c r="G943" s="1853" t="s">
        <v>1</v>
      </c>
      <c r="H943" s="1853" t="s">
        <v>1</v>
      </c>
      <c r="I943" s="1853" t="s">
        <v>687</v>
      </c>
    </row>
    <row r="944" spans="1:9" ht="11.25" customHeight="1">
      <c r="A944" s="1853" t="s">
        <v>2101</v>
      </c>
      <c r="B944" s="1853" t="s">
        <v>0</v>
      </c>
      <c r="C944" s="1853" t="s">
        <v>4287</v>
      </c>
      <c r="D944" s="1853" t="s">
        <v>4288</v>
      </c>
      <c r="E944" s="1853" t="s">
        <v>4289</v>
      </c>
      <c r="F944" s="1853" t="s">
        <v>2708</v>
      </c>
      <c r="G944" s="1853" t="s">
        <v>1</v>
      </c>
      <c r="H944" s="1853" t="s">
        <v>1</v>
      </c>
      <c r="I944" s="1853" t="s">
        <v>687</v>
      </c>
    </row>
    <row r="945" spans="1:9" ht="11.25" customHeight="1">
      <c r="A945" s="1853" t="s">
        <v>2101</v>
      </c>
      <c r="B945" s="1853" t="s">
        <v>0</v>
      </c>
      <c r="C945" s="1853" t="s">
        <v>4290</v>
      </c>
      <c r="D945" s="1853" t="s">
        <v>4291</v>
      </c>
      <c r="E945" s="1853" t="s">
        <v>4292</v>
      </c>
      <c r="F945" s="1853" t="s">
        <v>2132</v>
      </c>
      <c r="G945" s="1853" t="s">
        <v>1</v>
      </c>
      <c r="H945" s="1853" t="s">
        <v>1</v>
      </c>
      <c r="I945" s="1853" t="s">
        <v>687</v>
      </c>
    </row>
    <row r="946" spans="1:9" ht="11.25" customHeight="1">
      <c r="A946" s="1853" t="s">
        <v>2101</v>
      </c>
      <c r="B946" s="1853" t="s">
        <v>0</v>
      </c>
      <c r="C946" s="1853" t="s">
        <v>4293</v>
      </c>
      <c r="D946" s="1853" t="s">
        <v>4294</v>
      </c>
      <c r="E946" s="1853" t="s">
        <v>4295</v>
      </c>
      <c r="F946" s="1853" t="s">
        <v>2196</v>
      </c>
      <c r="G946" s="1853" t="s">
        <v>1</v>
      </c>
      <c r="H946" s="1853" t="s">
        <v>1</v>
      </c>
      <c r="I946" s="1853" t="s">
        <v>687</v>
      </c>
    </row>
    <row r="947" spans="1:9" ht="11.25" customHeight="1">
      <c r="A947" s="1853" t="s">
        <v>2101</v>
      </c>
      <c r="B947" s="1853" t="s">
        <v>0</v>
      </c>
      <c r="C947" s="1853" t="s">
        <v>2731</v>
      </c>
      <c r="D947" s="1853" t="s">
        <v>2732</v>
      </c>
      <c r="E947" s="1853" t="s">
        <v>2733</v>
      </c>
      <c r="F947" s="1853" t="s">
        <v>2132</v>
      </c>
      <c r="G947" s="1853" t="s">
        <v>1</v>
      </c>
      <c r="H947" s="1853" t="s">
        <v>1</v>
      </c>
      <c r="I947" s="1853" t="s">
        <v>687</v>
      </c>
    </row>
    <row r="948" spans="1:9" ht="11.25" customHeight="1">
      <c r="A948" s="1853" t="s">
        <v>2101</v>
      </c>
      <c r="B948" s="1853" t="s">
        <v>0</v>
      </c>
      <c r="C948" s="1853" t="s">
        <v>4296</v>
      </c>
      <c r="D948" s="1853" t="s">
        <v>4297</v>
      </c>
      <c r="E948" s="1853" t="s">
        <v>4298</v>
      </c>
      <c r="F948" s="1853" t="s">
        <v>2159</v>
      </c>
      <c r="G948" s="1853" t="s">
        <v>1</v>
      </c>
      <c r="H948" s="1853" t="s">
        <v>1</v>
      </c>
      <c r="I948" s="1853" t="s">
        <v>687</v>
      </c>
    </row>
    <row r="949" spans="1:9" ht="11.25" customHeight="1">
      <c r="A949" s="1853" t="s">
        <v>2101</v>
      </c>
      <c r="B949" s="1853" t="s">
        <v>0</v>
      </c>
      <c r="C949" s="1853" t="s">
        <v>4299</v>
      </c>
      <c r="D949" s="1853" t="s">
        <v>4300</v>
      </c>
      <c r="E949" s="1853" t="s">
        <v>4301</v>
      </c>
      <c r="F949" s="1853" t="s">
        <v>2141</v>
      </c>
      <c r="G949" s="1853" t="s">
        <v>1</v>
      </c>
      <c r="H949" s="1853" t="s">
        <v>1</v>
      </c>
      <c r="I949" s="1853" t="s">
        <v>687</v>
      </c>
    </row>
    <row r="950" spans="1:9" ht="11.25" customHeight="1">
      <c r="A950" s="1853" t="s">
        <v>2101</v>
      </c>
      <c r="B950" s="1853" t="s">
        <v>0</v>
      </c>
      <c r="C950" s="1853" t="s">
        <v>2738</v>
      </c>
      <c r="D950" s="1853" t="s">
        <v>2739</v>
      </c>
      <c r="E950" s="1853" t="s">
        <v>2740</v>
      </c>
      <c r="F950" s="1853" t="s">
        <v>2741</v>
      </c>
      <c r="G950" s="1853" t="s">
        <v>1</v>
      </c>
      <c r="H950" s="1853" t="s">
        <v>1</v>
      </c>
      <c r="I950" s="1853" t="s">
        <v>687</v>
      </c>
    </row>
    <row r="951" spans="1:9" ht="11.25" customHeight="1">
      <c r="A951" s="1853" t="s">
        <v>2101</v>
      </c>
      <c r="B951" s="1853" t="s">
        <v>0</v>
      </c>
      <c r="C951" s="1853" t="s">
        <v>2750</v>
      </c>
      <c r="D951" s="1853" t="s">
        <v>2751</v>
      </c>
      <c r="E951" s="1853" t="s">
        <v>2752</v>
      </c>
      <c r="F951" s="1853" t="s">
        <v>2528</v>
      </c>
      <c r="G951" s="1853" t="s">
        <v>2753</v>
      </c>
      <c r="H951" s="1853" t="s">
        <v>1</v>
      </c>
      <c r="I951" s="1853" t="s">
        <v>687</v>
      </c>
    </row>
    <row r="952" spans="1:9" ht="11.25" customHeight="1">
      <c r="A952" s="1853" t="s">
        <v>2101</v>
      </c>
      <c r="B952" s="1853" t="s">
        <v>0</v>
      </c>
      <c r="C952" s="1853" t="s">
        <v>2754</v>
      </c>
      <c r="D952" s="1853" t="s">
        <v>2755</v>
      </c>
      <c r="E952" s="1853" t="s">
        <v>2756</v>
      </c>
      <c r="F952" s="1853" t="s">
        <v>2528</v>
      </c>
      <c r="G952" s="1853" t="s">
        <v>2757</v>
      </c>
      <c r="H952" s="1853" t="s">
        <v>1</v>
      </c>
      <c r="I952" s="1853" t="s">
        <v>687</v>
      </c>
    </row>
    <row r="953" spans="1:9" ht="11.25" customHeight="1">
      <c r="A953" s="1853" t="s">
        <v>2101</v>
      </c>
      <c r="B953" s="1853" t="s">
        <v>0</v>
      </c>
      <c r="C953" s="1853" t="s">
        <v>2758</v>
      </c>
      <c r="D953" s="1853" t="s">
        <v>2759</v>
      </c>
      <c r="E953" s="1853" t="s">
        <v>2760</v>
      </c>
      <c r="F953" s="1853" t="s">
        <v>2528</v>
      </c>
      <c r="G953" s="1853" t="s">
        <v>2761</v>
      </c>
      <c r="H953" s="1853" t="s">
        <v>1</v>
      </c>
      <c r="I953" s="1853" t="s">
        <v>687</v>
      </c>
    </row>
    <row r="954" spans="1:9" ht="11.25" customHeight="1">
      <c r="A954" s="1853" t="s">
        <v>2101</v>
      </c>
      <c r="B954" s="1853" t="s">
        <v>0</v>
      </c>
      <c r="C954" s="1853" t="s">
        <v>2762</v>
      </c>
      <c r="D954" s="1853" t="s">
        <v>2763</v>
      </c>
      <c r="E954" s="1853" t="s">
        <v>2764</v>
      </c>
      <c r="F954" s="1853" t="s">
        <v>2528</v>
      </c>
      <c r="G954" s="1853" t="s">
        <v>2765</v>
      </c>
      <c r="H954" s="1853" t="s">
        <v>1</v>
      </c>
      <c r="I954" s="1853" t="s">
        <v>687</v>
      </c>
    </row>
    <row r="955" spans="1:9" ht="11.25" customHeight="1">
      <c r="A955" s="1853" t="s">
        <v>2101</v>
      </c>
      <c r="B955" s="1853" t="s">
        <v>0</v>
      </c>
      <c r="C955" s="1853" t="s">
        <v>2766</v>
      </c>
      <c r="D955" s="1853" t="s">
        <v>2767</v>
      </c>
      <c r="E955" s="1853" t="s">
        <v>2768</v>
      </c>
      <c r="F955" s="1853" t="s">
        <v>2528</v>
      </c>
      <c r="G955" s="1853" t="s">
        <v>1</v>
      </c>
      <c r="H955" s="1853" t="s">
        <v>1</v>
      </c>
      <c r="I955" s="1853" t="s">
        <v>687</v>
      </c>
    </row>
    <row r="956" spans="1:9" ht="11.25" customHeight="1">
      <c r="A956" s="1853" t="s">
        <v>2101</v>
      </c>
      <c r="B956" s="1853" t="s">
        <v>0</v>
      </c>
      <c r="C956" s="1853" t="s">
        <v>2778</v>
      </c>
      <c r="D956" s="1853" t="s">
        <v>2779</v>
      </c>
      <c r="E956" s="1853" t="s">
        <v>2780</v>
      </c>
      <c r="F956" s="1853" t="s">
        <v>2708</v>
      </c>
      <c r="G956" s="1853" t="s">
        <v>2781</v>
      </c>
      <c r="H956" s="1853" t="s">
        <v>1</v>
      </c>
      <c r="I956" s="1853" t="s">
        <v>687</v>
      </c>
    </row>
    <row r="957" spans="1:9" ht="11.25" customHeight="1">
      <c r="A957" s="1853" t="s">
        <v>2101</v>
      </c>
      <c r="B957" s="1853" t="s">
        <v>0</v>
      </c>
      <c r="C957" s="1853" t="s">
        <v>4302</v>
      </c>
      <c r="D957" s="1853" t="s">
        <v>4303</v>
      </c>
      <c r="E957" s="1853" t="s">
        <v>4304</v>
      </c>
      <c r="F957" s="1853" t="s">
        <v>2239</v>
      </c>
      <c r="G957" s="1853" t="s">
        <v>1</v>
      </c>
      <c r="H957" s="1853" t="s">
        <v>1</v>
      </c>
      <c r="I957" s="1853" t="s">
        <v>687</v>
      </c>
    </row>
    <row r="958" spans="1:9" ht="11.25" customHeight="1">
      <c r="A958" s="1853" t="s">
        <v>2101</v>
      </c>
      <c r="B958" s="1853" t="s">
        <v>0</v>
      </c>
      <c r="C958" s="1853" t="s">
        <v>2782</v>
      </c>
      <c r="D958" s="1853" t="s">
        <v>2783</v>
      </c>
      <c r="E958" s="1853" t="s">
        <v>2784</v>
      </c>
      <c r="F958" s="1853" t="s">
        <v>2708</v>
      </c>
      <c r="G958" s="1853" t="s">
        <v>1</v>
      </c>
      <c r="H958" s="1853" t="s">
        <v>1</v>
      </c>
      <c r="I958" s="1853" t="s">
        <v>687</v>
      </c>
    </row>
    <row r="959" spans="1:9" ht="11.25" customHeight="1">
      <c r="A959" s="1853" t="s">
        <v>2101</v>
      </c>
      <c r="B959" s="1853" t="s">
        <v>0</v>
      </c>
      <c r="C959" s="1853" t="s">
        <v>4305</v>
      </c>
      <c r="D959" s="1853" t="s">
        <v>4306</v>
      </c>
      <c r="E959" s="1853" t="s">
        <v>4307</v>
      </c>
      <c r="F959" s="1853" t="s">
        <v>2528</v>
      </c>
      <c r="G959" s="1853" t="s">
        <v>1</v>
      </c>
      <c r="H959" s="1853" t="s">
        <v>1</v>
      </c>
      <c r="I959" s="1853" t="s">
        <v>687</v>
      </c>
    </row>
    <row r="960" spans="1:9" ht="11.25" customHeight="1">
      <c r="A960" s="1853" t="s">
        <v>2101</v>
      </c>
      <c r="B960" s="1853" t="s">
        <v>0</v>
      </c>
      <c r="C960" s="1853" t="s">
        <v>2785</v>
      </c>
      <c r="D960" s="1853" t="s">
        <v>2786</v>
      </c>
      <c r="E960" s="1853" t="s">
        <v>2787</v>
      </c>
      <c r="F960" s="1853" t="s">
        <v>2105</v>
      </c>
      <c r="G960" s="1853" t="s">
        <v>2788</v>
      </c>
      <c r="H960" s="1853" t="s">
        <v>1</v>
      </c>
      <c r="I960" s="1853" t="s">
        <v>687</v>
      </c>
    </row>
    <row r="961" spans="1:9" ht="11.25" customHeight="1">
      <c r="A961" s="1853" t="s">
        <v>2101</v>
      </c>
      <c r="B961" s="1853" t="s">
        <v>0</v>
      </c>
      <c r="C961" s="1853" t="s">
        <v>4308</v>
      </c>
      <c r="D961" s="1853" t="s">
        <v>4309</v>
      </c>
      <c r="E961" s="1853" t="s">
        <v>4310</v>
      </c>
      <c r="F961" s="1853" t="s">
        <v>2424</v>
      </c>
      <c r="G961" s="1853" t="s">
        <v>1</v>
      </c>
      <c r="H961" s="1853" t="s">
        <v>1</v>
      </c>
      <c r="I961" s="1853" t="s">
        <v>687</v>
      </c>
    </row>
    <row r="962" spans="1:9" ht="11.25" customHeight="1">
      <c r="A962" s="1853" t="s">
        <v>2101</v>
      </c>
      <c r="B962" s="1853" t="s">
        <v>0</v>
      </c>
      <c r="C962" s="1853" t="s">
        <v>4311</v>
      </c>
      <c r="D962" s="1853" t="s">
        <v>4312</v>
      </c>
      <c r="E962" s="1853" t="s">
        <v>4313</v>
      </c>
      <c r="F962" s="1853" t="s">
        <v>2741</v>
      </c>
      <c r="G962" s="1853" t="s">
        <v>4314</v>
      </c>
      <c r="H962" s="1853" t="s">
        <v>1</v>
      </c>
      <c r="I962" s="1853" t="s">
        <v>687</v>
      </c>
    </row>
    <row r="963" spans="1:9" ht="11.25" customHeight="1">
      <c r="A963" s="1853" t="s">
        <v>2101</v>
      </c>
      <c r="B963" s="1853" t="s">
        <v>0</v>
      </c>
      <c r="C963" s="1853" t="s">
        <v>4315</v>
      </c>
      <c r="D963" s="1853" t="s">
        <v>4316</v>
      </c>
      <c r="E963" s="1853" t="s">
        <v>4317</v>
      </c>
      <c r="F963" s="1853" t="s">
        <v>2159</v>
      </c>
      <c r="G963" s="1853" t="s">
        <v>2925</v>
      </c>
      <c r="H963" s="1853" t="s">
        <v>4318</v>
      </c>
      <c r="I963" s="1853" t="s">
        <v>687</v>
      </c>
    </row>
    <row r="964" spans="1:9" ht="11.25" customHeight="1">
      <c r="A964" s="1853" t="s">
        <v>2101</v>
      </c>
      <c r="B964" s="1853" t="s">
        <v>0</v>
      </c>
      <c r="C964" s="1853" t="s">
        <v>4319</v>
      </c>
      <c r="D964" s="1853" t="s">
        <v>4320</v>
      </c>
      <c r="E964" s="1853" t="s">
        <v>4321</v>
      </c>
      <c r="F964" s="1853" t="s">
        <v>2600</v>
      </c>
      <c r="G964" s="1853" t="s">
        <v>1</v>
      </c>
      <c r="H964" s="1853" t="s">
        <v>4322</v>
      </c>
      <c r="I964" s="1853" t="s">
        <v>687</v>
      </c>
    </row>
    <row r="965" spans="1:9" ht="11.25" customHeight="1">
      <c r="A965" s="1853" t="s">
        <v>2101</v>
      </c>
      <c r="B965" s="1853" t="s">
        <v>0</v>
      </c>
      <c r="C965" s="1853" t="s">
        <v>4323</v>
      </c>
      <c r="D965" s="1853" t="s">
        <v>4324</v>
      </c>
      <c r="E965" s="1853" t="s">
        <v>4325</v>
      </c>
      <c r="F965" s="1853" t="s">
        <v>3087</v>
      </c>
      <c r="G965" s="1853" t="s">
        <v>1</v>
      </c>
      <c r="H965" s="1853" t="s">
        <v>1</v>
      </c>
      <c r="I965" s="1853" t="s">
        <v>687</v>
      </c>
    </row>
    <row r="966" spans="1:9" ht="11.25" customHeight="1">
      <c r="A966" s="1853" t="s">
        <v>2101</v>
      </c>
      <c r="B966" s="1853" t="s">
        <v>0</v>
      </c>
      <c r="C966" s="1853" t="s">
        <v>4326</v>
      </c>
      <c r="D966" s="1853" t="s">
        <v>4327</v>
      </c>
      <c r="E966" s="1853" t="s">
        <v>4328</v>
      </c>
      <c r="F966" s="1853" t="s">
        <v>2178</v>
      </c>
      <c r="G966" s="1853" t="s">
        <v>4329</v>
      </c>
      <c r="H966" s="1853" t="s">
        <v>1</v>
      </c>
      <c r="I966" s="1853" t="s">
        <v>687</v>
      </c>
    </row>
    <row r="967" spans="1:9" ht="11.25" customHeight="1">
      <c r="A967" s="1853" t="s">
        <v>2101</v>
      </c>
      <c r="B967" s="1853" t="s">
        <v>0</v>
      </c>
      <c r="C967" s="1853" t="s">
        <v>2792</v>
      </c>
      <c r="D967" s="1853" t="s">
        <v>2793</v>
      </c>
      <c r="E967" s="1853" t="s">
        <v>2794</v>
      </c>
      <c r="F967" s="1853" t="s">
        <v>2191</v>
      </c>
      <c r="G967" s="1853" t="s">
        <v>2795</v>
      </c>
      <c r="H967" s="1853" t="s">
        <v>1</v>
      </c>
      <c r="I967" s="1853" t="s">
        <v>687</v>
      </c>
    </row>
    <row r="968" spans="1:9" ht="11.25" customHeight="1">
      <c r="A968" s="1853" t="s">
        <v>2101</v>
      </c>
      <c r="B968" s="1853" t="s">
        <v>0</v>
      </c>
      <c r="C968" s="1853" t="s">
        <v>2796</v>
      </c>
      <c r="D968" s="1853" t="s">
        <v>2797</v>
      </c>
      <c r="E968" s="1853" t="s">
        <v>2798</v>
      </c>
      <c r="F968" s="1853" t="s">
        <v>2424</v>
      </c>
      <c r="G968" s="1853" t="s">
        <v>1</v>
      </c>
      <c r="H968" s="1853" t="s">
        <v>1</v>
      </c>
      <c r="I968" s="1853" t="s">
        <v>687</v>
      </c>
    </row>
    <row r="969" spans="1:9" ht="11.25" customHeight="1">
      <c r="A969" s="1853" t="s">
        <v>2101</v>
      </c>
      <c r="B969" s="1853" t="s">
        <v>0</v>
      </c>
      <c r="C969" s="1853" t="s">
        <v>4330</v>
      </c>
      <c r="D969" s="1853" t="s">
        <v>4331</v>
      </c>
      <c r="E969" s="1853" t="s">
        <v>4332</v>
      </c>
      <c r="F969" s="1853" t="s">
        <v>2424</v>
      </c>
      <c r="G969" s="1853" t="s">
        <v>4333</v>
      </c>
      <c r="H969" s="1853" t="s">
        <v>1</v>
      </c>
      <c r="I969" s="1853" t="s">
        <v>687</v>
      </c>
    </row>
    <row r="970" spans="1:9" ht="11.25" customHeight="1">
      <c r="A970" s="1853" t="s">
        <v>2101</v>
      </c>
      <c r="B970" s="1853" t="s">
        <v>0</v>
      </c>
      <c r="C970" s="1853" t="s">
        <v>4334</v>
      </c>
      <c r="D970" s="1853" t="s">
        <v>4335</v>
      </c>
      <c r="E970" s="1853" t="s">
        <v>4336</v>
      </c>
      <c r="F970" s="1853" t="s">
        <v>2187</v>
      </c>
      <c r="G970" s="1853" t="s">
        <v>4337</v>
      </c>
      <c r="H970" s="1853" t="s">
        <v>1</v>
      </c>
      <c r="I970" s="1853" t="s">
        <v>687</v>
      </c>
    </row>
    <row r="971" spans="1:9" ht="11.25" customHeight="1">
      <c r="A971" s="1853" t="s">
        <v>2101</v>
      </c>
      <c r="B971" s="1853" t="s">
        <v>0</v>
      </c>
      <c r="C971" s="1853" t="s">
        <v>2799</v>
      </c>
      <c r="D971" s="1853" t="s">
        <v>2800</v>
      </c>
      <c r="E971" s="1853" t="s">
        <v>2801</v>
      </c>
      <c r="F971" s="1853" t="s">
        <v>2141</v>
      </c>
      <c r="G971" s="1853" t="s">
        <v>2802</v>
      </c>
      <c r="H971" s="1853" t="s">
        <v>1</v>
      </c>
      <c r="I971" s="1853" t="s">
        <v>687</v>
      </c>
    </row>
    <row r="972" spans="1:9" ht="11.25" customHeight="1">
      <c r="A972" s="1853" t="s">
        <v>2101</v>
      </c>
      <c r="B972" s="1853" t="s">
        <v>0</v>
      </c>
      <c r="C972" s="1853" t="s">
        <v>4338</v>
      </c>
      <c r="D972" s="1853" t="s">
        <v>4339</v>
      </c>
      <c r="E972" s="1853" t="s">
        <v>4340</v>
      </c>
      <c r="F972" s="1853" t="s">
        <v>2745</v>
      </c>
      <c r="G972" s="1853" t="s">
        <v>4341</v>
      </c>
      <c r="H972" s="1853" t="s">
        <v>3224</v>
      </c>
      <c r="I972" s="1853" t="s">
        <v>687</v>
      </c>
    </row>
    <row r="973" spans="1:9" ht="11.25" customHeight="1">
      <c r="A973" s="1853" t="s">
        <v>2101</v>
      </c>
      <c r="B973" s="1853" t="s">
        <v>0</v>
      </c>
      <c r="C973" s="1853" t="s">
        <v>2803</v>
      </c>
      <c r="D973" s="1853" t="s">
        <v>2804</v>
      </c>
      <c r="E973" s="1853" t="s">
        <v>2805</v>
      </c>
      <c r="F973" s="1853" t="s">
        <v>2708</v>
      </c>
      <c r="G973" s="1853" t="s">
        <v>2806</v>
      </c>
      <c r="H973" s="1853" t="s">
        <v>1</v>
      </c>
      <c r="I973" s="1853" t="s">
        <v>687</v>
      </c>
    </row>
    <row r="974" spans="1:9" ht="11.25" customHeight="1">
      <c r="A974" s="1853" t="s">
        <v>2101</v>
      </c>
      <c r="B974" s="1853" t="s">
        <v>0</v>
      </c>
      <c r="C974" s="1853" t="s">
        <v>2815</v>
      </c>
      <c r="D974" s="1853" t="s">
        <v>2816</v>
      </c>
      <c r="E974" s="1853" t="s">
        <v>2817</v>
      </c>
      <c r="F974" s="1853" t="s">
        <v>2159</v>
      </c>
      <c r="G974" s="1853" t="s">
        <v>1</v>
      </c>
      <c r="H974" s="1853" t="s">
        <v>1</v>
      </c>
      <c r="I974" s="1853" t="s">
        <v>687</v>
      </c>
    </row>
    <row r="975" spans="1:9" ht="11.25" customHeight="1">
      <c r="A975" s="1853" t="s">
        <v>2101</v>
      </c>
      <c r="B975" s="1853" t="s">
        <v>0</v>
      </c>
      <c r="C975" s="1853" t="s">
        <v>4342</v>
      </c>
      <c r="D975" s="1853" t="s">
        <v>4343</v>
      </c>
      <c r="E975" s="1853" t="s">
        <v>4344</v>
      </c>
      <c r="F975" s="1853" t="s">
        <v>2741</v>
      </c>
      <c r="G975" s="1853" t="s">
        <v>1</v>
      </c>
      <c r="H975" s="1853" t="s">
        <v>1</v>
      </c>
      <c r="I975" s="1853" t="s">
        <v>687</v>
      </c>
    </row>
    <row r="976" spans="1:9" ht="11.25" customHeight="1">
      <c r="A976" s="1853" t="s">
        <v>2101</v>
      </c>
      <c r="B976" s="1853" t="s">
        <v>0</v>
      </c>
      <c r="C976" s="1853" t="s">
        <v>2818</v>
      </c>
      <c r="D976" s="1853" t="s">
        <v>2819</v>
      </c>
      <c r="E976" s="1853" t="s">
        <v>2820</v>
      </c>
      <c r="F976" s="1853" t="s">
        <v>2132</v>
      </c>
      <c r="G976" s="1853" t="s">
        <v>1</v>
      </c>
      <c r="H976" s="1853" t="s">
        <v>1</v>
      </c>
      <c r="I976" s="1853" t="s">
        <v>687</v>
      </c>
    </row>
    <row r="977" spans="1:9" ht="11.25" customHeight="1">
      <c r="A977" s="1853" t="s">
        <v>2101</v>
      </c>
      <c r="B977" s="1853" t="s">
        <v>0</v>
      </c>
      <c r="C977" s="1853" t="s">
        <v>2821</v>
      </c>
      <c r="D977" s="1853" t="s">
        <v>2822</v>
      </c>
      <c r="E977" s="1853" t="s">
        <v>2823</v>
      </c>
      <c r="F977" s="1853" t="s">
        <v>2187</v>
      </c>
      <c r="G977" s="1853" t="s">
        <v>1</v>
      </c>
      <c r="H977" s="1853" t="s">
        <v>1</v>
      </c>
      <c r="I977" s="1853" t="s">
        <v>687</v>
      </c>
    </row>
    <row r="978" spans="1:9" ht="11.25" customHeight="1">
      <c r="A978" s="1853" t="s">
        <v>2101</v>
      </c>
      <c r="B978" s="1853" t="s">
        <v>0</v>
      </c>
      <c r="C978" s="1853" t="s">
        <v>2824</v>
      </c>
      <c r="D978" s="1853" t="s">
        <v>2825</v>
      </c>
      <c r="E978" s="1853" t="s">
        <v>2826</v>
      </c>
      <c r="F978" s="1853" t="s">
        <v>2187</v>
      </c>
      <c r="G978" s="1853" t="s">
        <v>2827</v>
      </c>
      <c r="H978" s="1853" t="s">
        <v>1</v>
      </c>
      <c r="I978" s="1853" t="s">
        <v>687</v>
      </c>
    </row>
    <row r="979" spans="1:9" ht="11.25" customHeight="1">
      <c r="A979" s="1853" t="s">
        <v>2101</v>
      </c>
      <c r="B979" s="1853" t="s">
        <v>0</v>
      </c>
      <c r="C979" s="1853" t="s">
        <v>2828</v>
      </c>
      <c r="D979" s="1853" t="s">
        <v>2829</v>
      </c>
      <c r="E979" s="1853" t="s">
        <v>2830</v>
      </c>
      <c r="F979" s="1853" t="s">
        <v>2182</v>
      </c>
      <c r="G979" s="1853" t="s">
        <v>2831</v>
      </c>
      <c r="H979" s="1853" t="s">
        <v>1</v>
      </c>
      <c r="I979" s="1853" t="s">
        <v>687</v>
      </c>
    </row>
    <row r="980" spans="1:9" ht="11.25" customHeight="1">
      <c r="A980" s="1853" t="s">
        <v>2101</v>
      </c>
      <c r="B980" s="1853" t="s">
        <v>0</v>
      </c>
      <c r="C980" s="1853" t="s">
        <v>2832</v>
      </c>
      <c r="D980" s="1853" t="s">
        <v>2833</v>
      </c>
      <c r="E980" s="1853" t="s">
        <v>2834</v>
      </c>
      <c r="F980" s="1853" t="s">
        <v>2528</v>
      </c>
      <c r="G980" s="1853" t="s">
        <v>1</v>
      </c>
      <c r="H980" s="1853" t="s">
        <v>1</v>
      </c>
      <c r="I980" s="1853" t="s">
        <v>687</v>
      </c>
    </row>
    <row r="981" spans="1:9" ht="11.25" customHeight="1">
      <c r="A981" s="1853" t="s">
        <v>2101</v>
      </c>
      <c r="B981" s="1853" t="s">
        <v>0</v>
      </c>
      <c r="C981" s="1853" t="s">
        <v>2835</v>
      </c>
      <c r="D981" s="1853" t="s">
        <v>2836</v>
      </c>
      <c r="E981" s="1853" t="s">
        <v>2837</v>
      </c>
      <c r="F981" s="1853" t="s">
        <v>2187</v>
      </c>
      <c r="G981" s="1853" t="s">
        <v>1</v>
      </c>
      <c r="H981" s="1853" t="s">
        <v>1</v>
      </c>
      <c r="I981" s="1853" t="s">
        <v>687</v>
      </c>
    </row>
    <row r="982" spans="1:9" ht="11.25" customHeight="1">
      <c r="A982" s="1853" t="s">
        <v>2101</v>
      </c>
      <c r="B982" s="1853" t="s">
        <v>0</v>
      </c>
      <c r="C982" s="1853" t="s">
        <v>2838</v>
      </c>
      <c r="D982" s="1853" t="s">
        <v>2839</v>
      </c>
      <c r="E982" s="1853" t="s">
        <v>2840</v>
      </c>
      <c r="F982" s="1853" t="s">
        <v>2841</v>
      </c>
      <c r="G982" s="1853" t="s">
        <v>2842</v>
      </c>
      <c r="H982" s="1853" t="s">
        <v>1</v>
      </c>
      <c r="I982" s="1853" t="s">
        <v>687</v>
      </c>
    </row>
    <row r="983" spans="1:9" ht="11.25" customHeight="1">
      <c r="A983" s="1853" t="s">
        <v>2101</v>
      </c>
      <c r="B983" s="1853" t="s">
        <v>0</v>
      </c>
      <c r="C983" s="1853" t="s">
        <v>2847</v>
      </c>
      <c r="D983" s="1853" t="s">
        <v>2848</v>
      </c>
      <c r="E983" s="1853" t="s">
        <v>2849</v>
      </c>
      <c r="F983" s="1853" t="s">
        <v>2424</v>
      </c>
      <c r="G983" s="1853" t="s">
        <v>2850</v>
      </c>
      <c r="H983" s="1853" t="s">
        <v>1</v>
      </c>
      <c r="I983" s="1853" t="s">
        <v>687</v>
      </c>
    </row>
    <row r="984" spans="1:9" ht="11.25" customHeight="1">
      <c r="A984" s="1853" t="s">
        <v>2101</v>
      </c>
      <c r="B984" s="1853" t="s">
        <v>0</v>
      </c>
      <c r="C984" s="1853" t="s">
        <v>2851</v>
      </c>
      <c r="D984" s="1853" t="s">
        <v>2852</v>
      </c>
      <c r="E984" s="1853" t="s">
        <v>2853</v>
      </c>
      <c r="F984" s="1853" t="s">
        <v>2416</v>
      </c>
      <c r="G984" s="1853" t="s">
        <v>1</v>
      </c>
      <c r="H984" s="1853" t="s">
        <v>1</v>
      </c>
      <c r="I984" s="1853" t="s">
        <v>687</v>
      </c>
    </row>
    <row r="985" spans="1:9" ht="11.25" customHeight="1">
      <c r="A985" s="1853" t="s">
        <v>2101</v>
      </c>
      <c r="B985" s="1853" t="s">
        <v>0</v>
      </c>
      <c r="C985" s="1853" t="s">
        <v>2854</v>
      </c>
      <c r="D985" s="1853" t="s">
        <v>2855</v>
      </c>
      <c r="E985" s="1853" t="s">
        <v>2856</v>
      </c>
      <c r="F985" s="1853" t="s">
        <v>2528</v>
      </c>
      <c r="G985" s="1853" t="s">
        <v>2857</v>
      </c>
      <c r="H985" s="1853" t="s">
        <v>1</v>
      </c>
      <c r="I985" s="1853" t="s">
        <v>687</v>
      </c>
    </row>
    <row r="986" spans="1:9" ht="11.25" customHeight="1">
      <c r="A986" s="1853" t="s">
        <v>2101</v>
      </c>
      <c r="B986" s="1853" t="s">
        <v>0</v>
      </c>
      <c r="C986" s="1853" t="s">
        <v>2858</v>
      </c>
      <c r="D986" s="1853" t="s">
        <v>2859</v>
      </c>
      <c r="E986" s="1853" t="s">
        <v>2860</v>
      </c>
      <c r="F986" s="1853" t="s">
        <v>2191</v>
      </c>
      <c r="G986" s="1853" t="s">
        <v>2861</v>
      </c>
      <c r="H986" s="1853" t="s">
        <v>1</v>
      </c>
      <c r="I986" s="1853" t="s">
        <v>687</v>
      </c>
    </row>
    <row r="987" spans="1:9" ht="11.25" customHeight="1">
      <c r="A987" s="1853" t="s">
        <v>2101</v>
      </c>
      <c r="B987" s="1853" t="s">
        <v>0</v>
      </c>
      <c r="C987" s="1853" t="s">
        <v>4345</v>
      </c>
      <c r="D987" s="1853" t="s">
        <v>4346</v>
      </c>
      <c r="E987" s="1853" t="s">
        <v>4347</v>
      </c>
      <c r="F987" s="1853" t="s">
        <v>2196</v>
      </c>
      <c r="G987" s="1853" t="s">
        <v>4348</v>
      </c>
      <c r="H987" s="1853" t="s">
        <v>1</v>
      </c>
      <c r="I987" s="1853" t="s">
        <v>687</v>
      </c>
    </row>
    <row r="988" spans="1:9" ht="11.25" customHeight="1">
      <c r="A988" s="1853" t="s">
        <v>2101</v>
      </c>
      <c r="B988" s="1853" t="s">
        <v>0</v>
      </c>
      <c r="C988" s="1853" t="s">
        <v>4349</v>
      </c>
      <c r="D988" s="1853" t="s">
        <v>4350</v>
      </c>
      <c r="E988" s="1853" t="s">
        <v>4351</v>
      </c>
      <c r="F988" s="1853" t="s">
        <v>2239</v>
      </c>
      <c r="G988" s="1853" t="s">
        <v>1</v>
      </c>
      <c r="H988" s="1853" t="s">
        <v>1</v>
      </c>
      <c r="I988" s="1853" t="s">
        <v>687</v>
      </c>
    </row>
    <row r="989" spans="1:9" ht="11.25" customHeight="1">
      <c r="A989" s="1853" t="s">
        <v>2101</v>
      </c>
      <c r="B989" s="1853" t="s">
        <v>0</v>
      </c>
      <c r="C989" s="1853" t="s">
        <v>2862</v>
      </c>
      <c r="D989" s="1853" t="s">
        <v>2863</v>
      </c>
      <c r="E989" s="1853" t="s">
        <v>2864</v>
      </c>
      <c r="F989" s="1853" t="s">
        <v>2132</v>
      </c>
      <c r="G989" s="1853" t="s">
        <v>1</v>
      </c>
      <c r="H989" s="1853" t="s">
        <v>1</v>
      </c>
      <c r="I989" s="1853" t="s">
        <v>687</v>
      </c>
    </row>
    <row r="990" spans="1:9" ht="11.25" customHeight="1">
      <c r="A990" s="1853" t="s">
        <v>2101</v>
      </c>
      <c r="B990" s="1853" t="s">
        <v>0</v>
      </c>
      <c r="C990" s="1853" t="s">
        <v>2865</v>
      </c>
      <c r="D990" s="1853" t="s">
        <v>2866</v>
      </c>
      <c r="E990" s="1853" t="s">
        <v>2867</v>
      </c>
      <c r="F990" s="1853" t="s">
        <v>2708</v>
      </c>
      <c r="G990" s="1853" t="s">
        <v>1</v>
      </c>
      <c r="H990" s="1853" t="s">
        <v>1</v>
      </c>
      <c r="I990" s="1853" t="s">
        <v>687</v>
      </c>
    </row>
    <row r="991" spans="1:9" ht="11.25" customHeight="1">
      <c r="A991" s="1853" t="s">
        <v>2101</v>
      </c>
      <c r="B991" s="1853" t="s">
        <v>0</v>
      </c>
      <c r="C991" s="1853" t="s">
        <v>2868</v>
      </c>
      <c r="D991" s="1853" t="s">
        <v>2869</v>
      </c>
      <c r="E991" s="1853" t="s">
        <v>2870</v>
      </c>
      <c r="F991" s="1853" t="s">
        <v>2871</v>
      </c>
      <c r="G991" s="1853" t="s">
        <v>1</v>
      </c>
      <c r="H991" s="1853" t="s">
        <v>1</v>
      </c>
      <c r="I991" s="1853" t="s">
        <v>687</v>
      </c>
    </row>
    <row r="992" spans="1:9" ht="11.25" customHeight="1">
      <c r="A992" s="1853" t="s">
        <v>2101</v>
      </c>
      <c r="B992" s="1853" t="s">
        <v>0</v>
      </c>
      <c r="C992" s="1853" t="s">
        <v>4352</v>
      </c>
      <c r="D992" s="1853" t="s">
        <v>4353</v>
      </c>
      <c r="E992" s="1853" t="s">
        <v>4354</v>
      </c>
      <c r="F992" s="1853" t="s">
        <v>2141</v>
      </c>
      <c r="G992" s="1853" t="s">
        <v>4355</v>
      </c>
      <c r="H992" s="1853" t="s">
        <v>1</v>
      </c>
      <c r="I992" s="1853" t="s">
        <v>687</v>
      </c>
    </row>
    <row r="993" spans="1:9" ht="11.25" customHeight="1">
      <c r="A993" s="1853" t="s">
        <v>2101</v>
      </c>
      <c r="B993" s="1853" t="s">
        <v>0</v>
      </c>
      <c r="C993" s="1853" t="s">
        <v>4356</v>
      </c>
      <c r="D993" s="1853" t="s">
        <v>4357</v>
      </c>
      <c r="E993" s="1853" t="s">
        <v>4358</v>
      </c>
      <c r="F993" s="1853" t="s">
        <v>2600</v>
      </c>
      <c r="G993" s="1853" t="s">
        <v>1</v>
      </c>
      <c r="H993" s="1853" t="s">
        <v>1</v>
      </c>
      <c r="I993" s="1853" t="s">
        <v>687</v>
      </c>
    </row>
    <row r="994" spans="1:9" ht="11.25" customHeight="1">
      <c r="A994" s="1853" t="s">
        <v>2101</v>
      </c>
      <c r="B994" s="1853" t="s">
        <v>0</v>
      </c>
      <c r="C994" s="1853" t="s">
        <v>2876</v>
      </c>
      <c r="D994" s="1853" t="s">
        <v>2877</v>
      </c>
      <c r="E994" s="1853" t="s">
        <v>2878</v>
      </c>
      <c r="F994" s="1853" t="s">
        <v>2191</v>
      </c>
      <c r="G994" s="1853" t="s">
        <v>2879</v>
      </c>
      <c r="H994" s="1853" t="s">
        <v>1</v>
      </c>
      <c r="I994" s="1853" t="s">
        <v>687</v>
      </c>
    </row>
    <row r="995" spans="1:9" ht="11.25" customHeight="1">
      <c r="A995" s="1853" t="s">
        <v>2101</v>
      </c>
      <c r="B995" s="1853" t="s">
        <v>0</v>
      </c>
      <c r="C995" s="1853" t="s">
        <v>2884</v>
      </c>
      <c r="D995" s="1853" t="s">
        <v>2885</v>
      </c>
      <c r="E995" s="1853" t="s">
        <v>2886</v>
      </c>
      <c r="F995" s="1853" t="s">
        <v>2141</v>
      </c>
      <c r="G995" s="1853" t="s">
        <v>2887</v>
      </c>
      <c r="H995" s="1853" t="s">
        <v>1</v>
      </c>
      <c r="I995" s="1853" t="s">
        <v>687</v>
      </c>
    </row>
    <row r="996" spans="1:9" ht="11.25" customHeight="1">
      <c r="A996" s="1853" t="s">
        <v>2101</v>
      </c>
      <c r="B996" s="1853" t="s">
        <v>0</v>
      </c>
      <c r="C996" s="1853" t="s">
        <v>2888</v>
      </c>
      <c r="D996" s="1853" t="s">
        <v>2889</v>
      </c>
      <c r="E996" s="1853" t="s">
        <v>2890</v>
      </c>
      <c r="F996" s="1853" t="s">
        <v>2132</v>
      </c>
      <c r="G996" s="1853" t="s">
        <v>2891</v>
      </c>
      <c r="H996" s="1853" t="s">
        <v>1</v>
      </c>
      <c r="I996" s="1853" t="s">
        <v>687</v>
      </c>
    </row>
    <row r="997" spans="1:9" ht="11.25" customHeight="1">
      <c r="A997" s="1853" t="s">
        <v>2101</v>
      </c>
      <c r="B997" s="1853" t="s">
        <v>0</v>
      </c>
      <c r="C997" s="1853" t="s">
        <v>2892</v>
      </c>
      <c r="D997" s="1853" t="s">
        <v>2893</v>
      </c>
      <c r="E997" s="1853" t="s">
        <v>2894</v>
      </c>
      <c r="F997" s="1853" t="s">
        <v>2132</v>
      </c>
      <c r="G997" s="1853" t="s">
        <v>2846</v>
      </c>
      <c r="H997" s="1853" t="s">
        <v>1</v>
      </c>
      <c r="I997" s="1853" t="s">
        <v>687</v>
      </c>
    </row>
    <row r="998" spans="1:9" ht="11.25" customHeight="1">
      <c r="A998" s="1853" t="s">
        <v>2101</v>
      </c>
      <c r="B998" s="1853" t="s">
        <v>0</v>
      </c>
      <c r="C998" s="1853" t="s">
        <v>2899</v>
      </c>
      <c r="D998" s="1853" t="s">
        <v>2900</v>
      </c>
      <c r="E998" s="1853" t="s">
        <v>2901</v>
      </c>
      <c r="F998" s="1853" t="s">
        <v>2141</v>
      </c>
      <c r="G998" s="1853" t="s">
        <v>1</v>
      </c>
      <c r="H998" s="1853" t="s">
        <v>1</v>
      </c>
      <c r="I998" s="1853" t="s">
        <v>687</v>
      </c>
    </row>
    <row r="999" spans="1:9" ht="11.25" customHeight="1">
      <c r="A999" s="1853" t="s">
        <v>2101</v>
      </c>
      <c r="B999" s="1853" t="s">
        <v>0</v>
      </c>
      <c r="C999" s="1853" t="s">
        <v>4359</v>
      </c>
      <c r="D999" s="1853" t="s">
        <v>4360</v>
      </c>
      <c r="E999" s="1853" t="s">
        <v>4361</v>
      </c>
      <c r="F999" s="1853" t="s">
        <v>2424</v>
      </c>
      <c r="G999" s="1853" t="s">
        <v>4362</v>
      </c>
      <c r="H999" s="1853" t="s">
        <v>4363</v>
      </c>
      <c r="I999" s="1853" t="s">
        <v>687</v>
      </c>
    </row>
    <row r="1000" spans="1:9" ht="11.25" customHeight="1">
      <c r="A1000" s="1853" t="s">
        <v>2101</v>
      </c>
      <c r="B1000" s="1853" t="s">
        <v>0</v>
      </c>
      <c r="C1000" s="1853" t="s">
        <v>2902</v>
      </c>
      <c r="D1000" s="1853" t="s">
        <v>2903</v>
      </c>
      <c r="E1000" s="1853" t="s">
        <v>2904</v>
      </c>
      <c r="F1000" s="1853" t="s">
        <v>2191</v>
      </c>
      <c r="G1000" s="1853" t="s">
        <v>2905</v>
      </c>
      <c r="H1000" s="1853" t="s">
        <v>1</v>
      </c>
      <c r="I1000" s="1853" t="s">
        <v>687</v>
      </c>
    </row>
    <row r="1001" spans="1:9" ht="11.25" customHeight="1">
      <c r="A1001" s="1853" t="s">
        <v>2101</v>
      </c>
      <c r="B1001" s="1853" t="s">
        <v>0</v>
      </c>
      <c r="C1001" s="1853" t="s">
        <v>2906</v>
      </c>
      <c r="D1001" s="1853" t="s">
        <v>2907</v>
      </c>
      <c r="E1001" s="1853" t="s">
        <v>2908</v>
      </c>
      <c r="F1001" s="1853" t="s">
        <v>2187</v>
      </c>
      <c r="G1001" s="1853" t="s">
        <v>2909</v>
      </c>
      <c r="H1001" s="1853" t="s">
        <v>1</v>
      </c>
      <c r="I1001" s="1853" t="s">
        <v>687</v>
      </c>
    </row>
    <row r="1002" spans="1:9" ht="11.25" customHeight="1">
      <c r="A1002" s="1853" t="s">
        <v>2101</v>
      </c>
      <c r="B1002" s="1853" t="s">
        <v>0</v>
      </c>
      <c r="C1002" s="1853" t="s">
        <v>2914</v>
      </c>
      <c r="D1002" s="1853" t="s">
        <v>2915</v>
      </c>
      <c r="E1002" s="1853" t="s">
        <v>2916</v>
      </c>
      <c r="F1002" s="1853" t="s">
        <v>2741</v>
      </c>
      <c r="G1002" s="1853" t="s">
        <v>1</v>
      </c>
      <c r="H1002" s="1853" t="s">
        <v>2917</v>
      </c>
      <c r="I1002" s="1853" t="s">
        <v>687</v>
      </c>
    </row>
    <row r="1003" spans="1:9" ht="11.25" customHeight="1">
      <c r="A1003" s="1853" t="s">
        <v>2101</v>
      </c>
      <c r="B1003" s="1853" t="s">
        <v>0</v>
      </c>
      <c r="C1003" s="1853" t="s">
        <v>2929</v>
      </c>
      <c r="D1003" s="1853" t="s">
        <v>2930</v>
      </c>
      <c r="E1003" s="1853" t="s">
        <v>2931</v>
      </c>
      <c r="F1003" s="1853" t="s">
        <v>2239</v>
      </c>
      <c r="G1003" s="1853" t="s">
        <v>2932</v>
      </c>
      <c r="H1003" s="1853" t="s">
        <v>1</v>
      </c>
      <c r="I1003" s="1853" t="s">
        <v>687</v>
      </c>
    </row>
    <row r="1004" spans="1:9" ht="11.25" customHeight="1">
      <c r="A1004" s="1853" t="s">
        <v>2101</v>
      </c>
      <c r="B1004" s="1853" t="s">
        <v>0</v>
      </c>
      <c r="C1004" s="1853" t="s">
        <v>2933</v>
      </c>
      <c r="D1004" s="1853" t="s">
        <v>2934</v>
      </c>
      <c r="E1004" s="1853" t="s">
        <v>2935</v>
      </c>
      <c r="F1004" s="1853" t="s">
        <v>2936</v>
      </c>
      <c r="G1004" s="1853" t="s">
        <v>2937</v>
      </c>
      <c r="H1004" s="1853" t="s">
        <v>1</v>
      </c>
      <c r="I1004" s="1853" t="s">
        <v>687</v>
      </c>
    </row>
    <row r="1005" spans="1:9" ht="11.25" customHeight="1">
      <c r="A1005" s="1853" t="s">
        <v>2101</v>
      </c>
      <c r="B1005" s="1853" t="s">
        <v>0</v>
      </c>
      <c r="C1005" s="1853" t="s">
        <v>2941</v>
      </c>
      <c r="D1005" s="1853" t="s">
        <v>2942</v>
      </c>
      <c r="E1005" s="1853" t="s">
        <v>2943</v>
      </c>
      <c r="F1005" s="1853" t="s">
        <v>2191</v>
      </c>
      <c r="G1005" s="1853" t="s">
        <v>2944</v>
      </c>
      <c r="H1005" s="1853" t="s">
        <v>1</v>
      </c>
      <c r="I1005" s="1853" t="s">
        <v>687</v>
      </c>
    </row>
    <row r="1006" spans="1:9" ht="11.25" customHeight="1">
      <c r="A1006" s="1853" t="s">
        <v>2101</v>
      </c>
      <c r="B1006" s="1853" t="s">
        <v>0</v>
      </c>
      <c r="C1006" s="1853" t="s">
        <v>2945</v>
      </c>
      <c r="D1006" s="1853" t="s">
        <v>2946</v>
      </c>
      <c r="E1006" s="1853" t="s">
        <v>2947</v>
      </c>
      <c r="F1006" s="1853" t="s">
        <v>2187</v>
      </c>
      <c r="G1006" s="1853" t="s">
        <v>2948</v>
      </c>
      <c r="H1006" s="1853" t="s">
        <v>1</v>
      </c>
      <c r="I1006" s="1853" t="s">
        <v>687</v>
      </c>
    </row>
    <row r="1007" spans="1:9" ht="11.25" customHeight="1">
      <c r="A1007" s="1853" t="s">
        <v>2101</v>
      </c>
      <c r="B1007" s="1853" t="s">
        <v>0</v>
      </c>
      <c r="C1007" s="1853" t="s">
        <v>2949</v>
      </c>
      <c r="D1007" s="1853" t="s">
        <v>2950</v>
      </c>
      <c r="E1007" s="1853" t="s">
        <v>2951</v>
      </c>
      <c r="F1007" s="1853" t="s">
        <v>2187</v>
      </c>
      <c r="G1007" s="1853" t="s">
        <v>2952</v>
      </c>
      <c r="H1007" s="1853" t="s">
        <v>1</v>
      </c>
      <c r="I1007" s="1853" t="s">
        <v>687</v>
      </c>
    </row>
    <row r="1008" spans="1:9" ht="11.25" customHeight="1">
      <c r="A1008" s="1853" t="s">
        <v>2101</v>
      </c>
      <c r="B1008" s="1853" t="s">
        <v>0</v>
      </c>
      <c r="C1008" s="1853" t="s">
        <v>4364</v>
      </c>
      <c r="D1008" s="1853" t="s">
        <v>4365</v>
      </c>
      <c r="E1008" s="1853" t="s">
        <v>4366</v>
      </c>
      <c r="F1008" s="1853" t="s">
        <v>2196</v>
      </c>
      <c r="G1008" s="1853" t="s">
        <v>1</v>
      </c>
      <c r="H1008" s="1853" t="s">
        <v>1</v>
      </c>
      <c r="I1008" s="1853" t="s">
        <v>687</v>
      </c>
    </row>
    <row r="1009" spans="1:9" ht="11.25" customHeight="1">
      <c r="A1009" s="1853" t="s">
        <v>2101</v>
      </c>
      <c r="B1009" s="1853" t="s">
        <v>0</v>
      </c>
      <c r="C1009" s="1853" t="s">
        <v>4367</v>
      </c>
      <c r="D1009" s="1853" t="s">
        <v>4368</v>
      </c>
      <c r="E1009" s="1853" t="s">
        <v>4369</v>
      </c>
      <c r="F1009" s="1853" t="s">
        <v>2230</v>
      </c>
      <c r="G1009" s="1853" t="s">
        <v>1</v>
      </c>
      <c r="H1009" s="1853" t="s">
        <v>1</v>
      </c>
      <c r="I1009" s="1853" t="s">
        <v>687</v>
      </c>
    </row>
    <row r="1010" spans="1:9" ht="11.25" customHeight="1">
      <c r="A1010" s="1853" t="s">
        <v>2101</v>
      </c>
      <c r="B1010" s="1853" t="s">
        <v>0</v>
      </c>
      <c r="C1010" s="1853" t="s">
        <v>2956</v>
      </c>
      <c r="D1010" s="1853" t="s">
        <v>2957</v>
      </c>
      <c r="E1010" s="1853" t="s">
        <v>2958</v>
      </c>
      <c r="F1010" s="1853" t="s">
        <v>2528</v>
      </c>
      <c r="G1010" s="1853" t="s">
        <v>1</v>
      </c>
      <c r="H1010" s="1853" t="s">
        <v>1</v>
      </c>
      <c r="I1010" s="1853" t="s">
        <v>687</v>
      </c>
    </row>
    <row r="1011" spans="1:9" ht="11.25" customHeight="1">
      <c r="A1011" s="1853" t="s">
        <v>2101</v>
      </c>
      <c r="B1011" s="1853" t="s">
        <v>0</v>
      </c>
      <c r="C1011" s="1853" t="s">
        <v>2959</v>
      </c>
      <c r="D1011" s="1853" t="s">
        <v>2960</v>
      </c>
      <c r="E1011" s="1853" t="s">
        <v>2961</v>
      </c>
      <c r="F1011" s="1853" t="s">
        <v>2528</v>
      </c>
      <c r="G1011" s="1853" t="s">
        <v>1</v>
      </c>
      <c r="H1011" s="1853" t="s">
        <v>1</v>
      </c>
      <c r="I1011" s="1853" t="s">
        <v>687</v>
      </c>
    </row>
    <row r="1012" spans="1:9" ht="11.25" customHeight="1">
      <c r="A1012" s="1853" t="s">
        <v>2101</v>
      </c>
      <c r="B1012" s="1853" t="s">
        <v>0</v>
      </c>
      <c r="C1012" s="1853" t="s">
        <v>2962</v>
      </c>
      <c r="D1012" s="1853" t="s">
        <v>2963</v>
      </c>
      <c r="E1012" s="1853" t="s">
        <v>2964</v>
      </c>
      <c r="F1012" s="1853" t="s">
        <v>2528</v>
      </c>
      <c r="G1012" s="1853" t="s">
        <v>1</v>
      </c>
      <c r="H1012" s="1853" t="s">
        <v>1</v>
      </c>
      <c r="I1012" s="1853" t="s">
        <v>687</v>
      </c>
    </row>
    <row r="1013" spans="1:9" ht="11.25" customHeight="1">
      <c r="A1013" s="1853" t="s">
        <v>2101</v>
      </c>
      <c r="B1013" s="1853" t="s">
        <v>0</v>
      </c>
      <c r="C1013" s="1853" t="s">
        <v>2965</v>
      </c>
      <c r="D1013" s="1853" t="s">
        <v>2966</v>
      </c>
      <c r="E1013" s="1853" t="s">
        <v>2967</v>
      </c>
      <c r="F1013" s="1853" t="s">
        <v>2528</v>
      </c>
      <c r="G1013" s="1853" t="s">
        <v>2968</v>
      </c>
      <c r="H1013" s="1853" t="s">
        <v>1</v>
      </c>
      <c r="I1013" s="1853" t="s">
        <v>687</v>
      </c>
    </row>
    <row r="1014" spans="1:9" ht="11.25" customHeight="1">
      <c r="A1014" s="1853" t="s">
        <v>2101</v>
      </c>
      <c r="B1014" s="1853" t="s">
        <v>0</v>
      </c>
      <c r="C1014" s="1853" t="s">
        <v>2969</v>
      </c>
      <c r="D1014" s="1853" t="s">
        <v>2970</v>
      </c>
      <c r="E1014" s="1853" t="s">
        <v>2971</v>
      </c>
      <c r="F1014" s="1853" t="s">
        <v>2528</v>
      </c>
      <c r="G1014" s="1853" t="s">
        <v>2972</v>
      </c>
      <c r="H1014" s="1853" t="s">
        <v>1</v>
      </c>
      <c r="I1014" s="1853" t="s">
        <v>687</v>
      </c>
    </row>
    <row r="1015" spans="1:9" ht="11.25" customHeight="1">
      <c r="A1015" s="1853" t="s">
        <v>2101</v>
      </c>
      <c r="B1015" s="1853" t="s">
        <v>0</v>
      </c>
      <c r="C1015" s="1853" t="s">
        <v>4370</v>
      </c>
      <c r="D1015" s="1853" t="s">
        <v>4371</v>
      </c>
      <c r="E1015" s="1853" t="s">
        <v>4372</v>
      </c>
      <c r="F1015" s="1853" t="s">
        <v>2329</v>
      </c>
      <c r="G1015" s="1853" t="s">
        <v>4373</v>
      </c>
      <c r="H1015" s="1853" t="s">
        <v>1</v>
      </c>
      <c r="I1015" s="1853" t="s">
        <v>687</v>
      </c>
    </row>
    <row r="1016" spans="1:9" ht="11.25" customHeight="1">
      <c r="A1016" s="1853" t="s">
        <v>2101</v>
      </c>
      <c r="B1016" s="1853" t="s">
        <v>0</v>
      </c>
      <c r="C1016" s="1853" t="s">
        <v>2976</v>
      </c>
      <c r="D1016" s="1853" t="s">
        <v>2977</v>
      </c>
      <c r="E1016" s="1853" t="s">
        <v>2978</v>
      </c>
      <c r="F1016" s="1853" t="s">
        <v>2196</v>
      </c>
      <c r="G1016" s="1853" t="s">
        <v>2979</v>
      </c>
      <c r="H1016" s="1853" t="s">
        <v>1</v>
      </c>
      <c r="I1016" s="1853" t="s">
        <v>687</v>
      </c>
    </row>
    <row r="1017" spans="1:9" ht="11.25" customHeight="1">
      <c r="A1017" s="1853" t="s">
        <v>2101</v>
      </c>
      <c r="B1017" s="1853" t="s">
        <v>0</v>
      </c>
      <c r="C1017" s="1853" t="s">
        <v>4374</v>
      </c>
      <c r="D1017" s="1853" t="s">
        <v>4375</v>
      </c>
      <c r="E1017" s="1853" t="s">
        <v>4376</v>
      </c>
      <c r="F1017" s="1853" t="s">
        <v>2196</v>
      </c>
      <c r="G1017" s="1853" t="s">
        <v>1</v>
      </c>
      <c r="H1017" s="1853" t="s">
        <v>1</v>
      </c>
      <c r="I1017" s="1853" t="s">
        <v>687</v>
      </c>
    </row>
    <row r="1018" spans="1:9" ht="11.25" customHeight="1">
      <c r="A1018" s="1853" t="s">
        <v>2101</v>
      </c>
      <c r="B1018" s="1853" t="s">
        <v>0</v>
      </c>
      <c r="C1018" s="1853" t="s">
        <v>4377</v>
      </c>
      <c r="D1018" s="1853" t="s">
        <v>4378</v>
      </c>
      <c r="E1018" s="1853" t="s">
        <v>4379</v>
      </c>
      <c r="F1018" s="1853" t="s">
        <v>2990</v>
      </c>
      <c r="G1018" s="1853" t="s">
        <v>1</v>
      </c>
      <c r="H1018" s="1853" t="s">
        <v>4380</v>
      </c>
      <c r="I1018" s="1853" t="s">
        <v>687</v>
      </c>
    </row>
    <row r="1019" spans="1:9" ht="11.25" customHeight="1">
      <c r="A1019" s="1853" t="s">
        <v>2101</v>
      </c>
      <c r="B1019" s="1853" t="s">
        <v>0</v>
      </c>
      <c r="C1019" s="1853" t="s">
        <v>2987</v>
      </c>
      <c r="D1019" s="1853" t="s">
        <v>2988</v>
      </c>
      <c r="E1019" s="1853" t="s">
        <v>2989</v>
      </c>
      <c r="F1019" s="1853" t="s">
        <v>2990</v>
      </c>
      <c r="G1019" s="1853" t="s">
        <v>1</v>
      </c>
      <c r="H1019" s="1853" t="s">
        <v>1</v>
      </c>
      <c r="I1019" s="1853" t="s">
        <v>687</v>
      </c>
    </row>
    <row r="1020" spans="1:9" ht="11.25" customHeight="1">
      <c r="A1020" s="1853" t="s">
        <v>2101</v>
      </c>
      <c r="B1020" s="1853" t="s">
        <v>0</v>
      </c>
      <c r="C1020" s="1853" t="s">
        <v>4381</v>
      </c>
      <c r="D1020" s="1853" t="s">
        <v>4382</v>
      </c>
      <c r="E1020" s="1853" t="s">
        <v>4383</v>
      </c>
      <c r="F1020" s="1853" t="s">
        <v>3619</v>
      </c>
      <c r="G1020" s="1853" t="s">
        <v>4384</v>
      </c>
      <c r="H1020" s="1853" t="s">
        <v>1</v>
      </c>
      <c r="I1020" s="1853" t="s">
        <v>687</v>
      </c>
    </row>
    <row r="1021" spans="1:9" ht="11.25" customHeight="1">
      <c r="A1021" s="1853" t="s">
        <v>2101</v>
      </c>
      <c r="B1021" s="1853" t="s">
        <v>0</v>
      </c>
      <c r="C1021" s="1853" t="s">
        <v>2994</v>
      </c>
      <c r="D1021" s="1853" t="s">
        <v>2995</v>
      </c>
      <c r="E1021" s="1853" t="s">
        <v>2996</v>
      </c>
      <c r="F1021" s="1853" t="s">
        <v>2230</v>
      </c>
      <c r="G1021" s="1853" t="s">
        <v>2857</v>
      </c>
      <c r="H1021" s="1853" t="s">
        <v>2997</v>
      </c>
      <c r="I1021" s="1853" t="s">
        <v>687</v>
      </c>
    </row>
    <row r="1022" spans="1:9" ht="11.25" customHeight="1">
      <c r="A1022" s="1853" t="s">
        <v>2101</v>
      </c>
      <c r="B1022" s="1853" t="s">
        <v>0</v>
      </c>
      <c r="C1022" s="1853" t="s">
        <v>4385</v>
      </c>
      <c r="D1022" s="1853" t="s">
        <v>4386</v>
      </c>
      <c r="E1022" s="1853" t="s">
        <v>4387</v>
      </c>
      <c r="F1022" s="1853" t="s">
        <v>4388</v>
      </c>
      <c r="G1022" s="1853" t="s">
        <v>1</v>
      </c>
      <c r="H1022" s="1853" t="s">
        <v>1</v>
      </c>
      <c r="I1022" s="1853" t="s">
        <v>687</v>
      </c>
    </row>
    <row r="1023" spans="1:9" ht="11.25" customHeight="1">
      <c r="A1023" s="1853" t="s">
        <v>2101</v>
      </c>
      <c r="B1023" s="1853" t="s">
        <v>0</v>
      </c>
      <c r="C1023" s="1853" t="s">
        <v>3005</v>
      </c>
      <c r="D1023" s="1853" t="s">
        <v>3006</v>
      </c>
      <c r="E1023" s="1853" t="s">
        <v>3007</v>
      </c>
      <c r="F1023" s="1853" t="s">
        <v>3008</v>
      </c>
      <c r="G1023" s="1853" t="s">
        <v>1</v>
      </c>
      <c r="H1023" s="1853" t="s">
        <v>1</v>
      </c>
      <c r="I1023" s="1853" t="s">
        <v>687</v>
      </c>
    </row>
    <row r="1024" spans="1:9" ht="11.25" customHeight="1">
      <c r="A1024" s="1853" t="s">
        <v>2101</v>
      </c>
      <c r="B1024" s="1853" t="s">
        <v>0</v>
      </c>
      <c r="C1024" s="1853" t="s">
        <v>4389</v>
      </c>
      <c r="D1024" s="1853" t="s">
        <v>4390</v>
      </c>
      <c r="E1024" s="1853" t="s">
        <v>4391</v>
      </c>
      <c r="F1024" s="1853" t="s">
        <v>2424</v>
      </c>
      <c r="G1024" s="1853" t="s">
        <v>4392</v>
      </c>
      <c r="H1024" s="1853" t="s">
        <v>1</v>
      </c>
      <c r="I1024" s="1853" t="s">
        <v>687</v>
      </c>
    </row>
    <row r="1025" spans="1:9" ht="11.25" customHeight="1">
      <c r="A1025" s="1853" t="s">
        <v>2101</v>
      </c>
      <c r="B1025" s="1853" t="s">
        <v>0</v>
      </c>
      <c r="C1025" s="1853" t="s">
        <v>3016</v>
      </c>
      <c r="D1025" s="1853" t="s">
        <v>3017</v>
      </c>
      <c r="E1025" s="1853" t="s">
        <v>3018</v>
      </c>
      <c r="F1025" s="1853" t="s">
        <v>3019</v>
      </c>
      <c r="G1025" s="1853" t="s">
        <v>1</v>
      </c>
      <c r="H1025" s="1853" t="s">
        <v>1</v>
      </c>
      <c r="I1025" s="1853" t="s">
        <v>687</v>
      </c>
    </row>
    <row r="1026" spans="1:9" ht="11.25" customHeight="1">
      <c r="A1026" s="1853" t="s">
        <v>2101</v>
      </c>
      <c r="B1026" s="1853" t="s">
        <v>0</v>
      </c>
      <c r="C1026" s="1853" t="s">
        <v>3020</v>
      </c>
      <c r="D1026" s="1853" t="s">
        <v>3021</v>
      </c>
      <c r="E1026" s="1853" t="s">
        <v>3022</v>
      </c>
      <c r="F1026" s="1853" t="s">
        <v>2159</v>
      </c>
      <c r="G1026" s="1853" t="s">
        <v>3023</v>
      </c>
      <c r="H1026" s="1853" t="s">
        <v>1</v>
      </c>
      <c r="I1026" s="1853" t="s">
        <v>687</v>
      </c>
    </row>
    <row r="1027" spans="1:9" ht="11.25" customHeight="1">
      <c r="A1027" s="1853" t="s">
        <v>2101</v>
      </c>
      <c r="B1027" s="1853" t="s">
        <v>0</v>
      </c>
      <c r="C1027" s="1853" t="s">
        <v>4393</v>
      </c>
      <c r="D1027" s="1853" t="s">
        <v>4394</v>
      </c>
      <c r="E1027" s="1853" t="s">
        <v>4395</v>
      </c>
      <c r="F1027" s="1853" t="s">
        <v>2424</v>
      </c>
      <c r="G1027" s="1853" t="s">
        <v>4396</v>
      </c>
      <c r="H1027" s="1853" t="s">
        <v>1</v>
      </c>
      <c r="I1027" s="1853" t="s">
        <v>687</v>
      </c>
    </row>
    <row r="1028" spans="1:9" ht="11.25" customHeight="1">
      <c r="A1028" s="1853" t="s">
        <v>2101</v>
      </c>
      <c r="B1028" s="1853" t="s">
        <v>0</v>
      </c>
      <c r="C1028" s="1853" t="s">
        <v>4397</v>
      </c>
      <c r="D1028" s="1853" t="s">
        <v>4398</v>
      </c>
      <c r="E1028" s="1853" t="s">
        <v>4399</v>
      </c>
      <c r="F1028" s="1853" t="s">
        <v>2708</v>
      </c>
      <c r="G1028" s="1853" t="s">
        <v>4400</v>
      </c>
      <c r="H1028" s="1853" t="s">
        <v>1</v>
      </c>
      <c r="I1028" s="1853" t="s">
        <v>687</v>
      </c>
    </row>
    <row r="1029" spans="1:9" ht="11.25" customHeight="1">
      <c r="A1029" s="1853" t="s">
        <v>2101</v>
      </c>
      <c r="B1029" s="1853" t="s">
        <v>0</v>
      </c>
      <c r="C1029" s="1853" t="s">
        <v>4401</v>
      </c>
      <c r="D1029" s="1853" t="s">
        <v>4402</v>
      </c>
      <c r="E1029" s="1853" t="s">
        <v>4403</v>
      </c>
      <c r="F1029" s="1853" t="s">
        <v>2132</v>
      </c>
      <c r="G1029" s="1853" t="s">
        <v>1</v>
      </c>
      <c r="H1029" s="1853" t="s">
        <v>1</v>
      </c>
      <c r="I1029" s="1853" t="s">
        <v>687</v>
      </c>
    </row>
    <row r="1030" spans="1:9" ht="11.25" customHeight="1">
      <c r="A1030" s="1853" t="s">
        <v>2101</v>
      </c>
      <c r="B1030" s="1853" t="s">
        <v>0</v>
      </c>
      <c r="C1030" s="1853" t="s">
        <v>3028</v>
      </c>
      <c r="D1030" s="1853" t="s">
        <v>3029</v>
      </c>
      <c r="E1030" s="1853" t="s">
        <v>3030</v>
      </c>
      <c r="F1030" s="1853" t="s">
        <v>2141</v>
      </c>
      <c r="G1030" s="1853" t="s">
        <v>1</v>
      </c>
      <c r="H1030" s="1853" t="s">
        <v>1</v>
      </c>
      <c r="I1030" s="1853" t="s">
        <v>687</v>
      </c>
    </row>
    <row r="1031" spans="1:9" ht="11.25" customHeight="1">
      <c r="A1031" s="1853" t="s">
        <v>2101</v>
      </c>
      <c r="B1031" s="1853" t="s">
        <v>0</v>
      </c>
      <c r="C1031" s="1853" t="s">
        <v>3031</v>
      </c>
      <c r="D1031" s="1853" t="s">
        <v>3032</v>
      </c>
      <c r="E1031" s="1853" t="s">
        <v>3033</v>
      </c>
      <c r="F1031" s="1853" t="s">
        <v>2132</v>
      </c>
      <c r="G1031" s="1853" t="s">
        <v>1</v>
      </c>
      <c r="H1031" s="1853" t="s">
        <v>1</v>
      </c>
      <c r="I1031" s="1853" t="s">
        <v>687</v>
      </c>
    </row>
    <row r="1032" spans="1:9" ht="11.25" customHeight="1">
      <c r="A1032" s="1853" t="s">
        <v>2101</v>
      </c>
      <c r="B1032" s="1853" t="s">
        <v>0</v>
      </c>
      <c r="C1032" s="1853" t="s">
        <v>3034</v>
      </c>
      <c r="D1032" s="1853" t="s">
        <v>3035</v>
      </c>
      <c r="E1032" s="1853" t="s">
        <v>3036</v>
      </c>
      <c r="F1032" s="1853" t="s">
        <v>2105</v>
      </c>
      <c r="G1032" s="1853" t="s">
        <v>3037</v>
      </c>
      <c r="H1032" s="1853" t="s">
        <v>1</v>
      </c>
      <c r="I1032" s="1853" t="s">
        <v>687</v>
      </c>
    </row>
    <row r="1033" spans="1:9" ht="11.25" customHeight="1">
      <c r="A1033" s="1853" t="s">
        <v>2101</v>
      </c>
      <c r="B1033" s="1853" t="s">
        <v>0</v>
      </c>
      <c r="C1033" s="1853" t="s">
        <v>3038</v>
      </c>
      <c r="D1033" s="1853" t="s">
        <v>3039</v>
      </c>
      <c r="E1033" s="1853" t="s">
        <v>3040</v>
      </c>
      <c r="F1033" s="1853" t="s">
        <v>2141</v>
      </c>
      <c r="G1033" s="1853" t="s">
        <v>3041</v>
      </c>
      <c r="H1033" s="1853" t="s">
        <v>1</v>
      </c>
      <c r="I1033" s="1853" t="s">
        <v>687</v>
      </c>
    </row>
    <row r="1034" spans="1:9" ht="11.25" customHeight="1">
      <c r="A1034" s="1853" t="s">
        <v>2101</v>
      </c>
      <c r="B1034" s="1853" t="s">
        <v>0</v>
      </c>
      <c r="C1034" s="1853" t="s">
        <v>3042</v>
      </c>
      <c r="D1034" s="1853" t="s">
        <v>3043</v>
      </c>
      <c r="E1034" s="1853" t="s">
        <v>3044</v>
      </c>
      <c r="F1034" s="1853" t="s">
        <v>2105</v>
      </c>
      <c r="G1034" s="1853" t="s">
        <v>3045</v>
      </c>
      <c r="H1034" s="1853" t="s">
        <v>1</v>
      </c>
      <c r="I1034" s="1853" t="s">
        <v>687</v>
      </c>
    </row>
    <row r="1035" spans="1:9" ht="11.25" customHeight="1">
      <c r="A1035" s="1853" t="s">
        <v>2101</v>
      </c>
      <c r="B1035" s="1853" t="s">
        <v>0</v>
      </c>
      <c r="C1035" s="1853" t="s">
        <v>3049</v>
      </c>
      <c r="D1035" s="1853" t="s">
        <v>3050</v>
      </c>
      <c r="E1035" s="1853" t="s">
        <v>3051</v>
      </c>
      <c r="F1035" s="1853" t="s">
        <v>2132</v>
      </c>
      <c r="G1035" s="1853" t="s">
        <v>3052</v>
      </c>
      <c r="H1035" s="1853" t="s">
        <v>1</v>
      </c>
      <c r="I1035" s="1853" t="s">
        <v>687</v>
      </c>
    </row>
    <row r="1036" spans="1:9" ht="11.25" customHeight="1">
      <c r="A1036" s="1853" t="s">
        <v>2101</v>
      </c>
      <c r="B1036" s="1853" t="s">
        <v>0</v>
      </c>
      <c r="C1036" s="1853" t="s">
        <v>4404</v>
      </c>
      <c r="D1036" s="1853" t="s">
        <v>4405</v>
      </c>
      <c r="E1036" s="1853" t="s">
        <v>4406</v>
      </c>
      <c r="F1036" s="1853" t="s">
        <v>3883</v>
      </c>
      <c r="G1036" s="1853" t="s">
        <v>1</v>
      </c>
      <c r="H1036" s="1853" t="s">
        <v>1</v>
      </c>
      <c r="I1036" s="1853" t="s">
        <v>687</v>
      </c>
    </row>
    <row r="1037" spans="1:9" ht="11.25" customHeight="1">
      <c r="A1037" s="1853" t="s">
        <v>2101</v>
      </c>
      <c r="B1037" s="1853" t="s">
        <v>0</v>
      </c>
      <c r="C1037" s="1853" t="s">
        <v>3056</v>
      </c>
      <c r="D1037" s="1853" t="s">
        <v>3057</v>
      </c>
      <c r="E1037" s="1853" t="s">
        <v>3058</v>
      </c>
      <c r="F1037" s="1853" t="s">
        <v>2424</v>
      </c>
      <c r="G1037" s="1853" t="s">
        <v>3059</v>
      </c>
      <c r="H1037" s="1853" t="s">
        <v>1</v>
      </c>
      <c r="I1037" s="1853" t="s">
        <v>687</v>
      </c>
    </row>
    <row r="1038" spans="1:9" ht="11.25" customHeight="1">
      <c r="A1038" s="1853" t="s">
        <v>2101</v>
      </c>
      <c r="B1038" s="1853" t="s">
        <v>0</v>
      </c>
      <c r="C1038" s="1853" t="s">
        <v>3060</v>
      </c>
      <c r="D1038" s="1853" t="s">
        <v>3061</v>
      </c>
      <c r="E1038" s="1853" t="s">
        <v>3062</v>
      </c>
      <c r="F1038" s="1853" t="s">
        <v>2424</v>
      </c>
      <c r="G1038" s="1853" t="s">
        <v>3063</v>
      </c>
      <c r="H1038" s="1853" t="s">
        <v>1</v>
      </c>
      <c r="I1038" s="1853" t="s">
        <v>687</v>
      </c>
    </row>
    <row r="1039" spans="1:9" ht="11.25" customHeight="1">
      <c r="A1039" s="1853" t="s">
        <v>2101</v>
      </c>
      <c r="B1039" s="1853" t="s">
        <v>0</v>
      </c>
      <c r="C1039" s="1853" t="s">
        <v>3064</v>
      </c>
      <c r="D1039" s="1853" t="s">
        <v>3065</v>
      </c>
      <c r="E1039" s="1853" t="s">
        <v>3066</v>
      </c>
      <c r="F1039" s="1853" t="s">
        <v>2105</v>
      </c>
      <c r="G1039" s="1853" t="s">
        <v>3067</v>
      </c>
      <c r="H1039" s="1853" t="s">
        <v>1</v>
      </c>
      <c r="I1039" s="1853" t="s">
        <v>687</v>
      </c>
    </row>
    <row r="1040" spans="1:9" ht="11.25" customHeight="1">
      <c r="A1040" s="1853" t="s">
        <v>2101</v>
      </c>
      <c r="B1040" s="1853" t="s">
        <v>0</v>
      </c>
      <c r="C1040" s="1853" t="s">
        <v>3068</v>
      </c>
      <c r="D1040" s="1853" t="s">
        <v>3069</v>
      </c>
      <c r="E1040" s="1853" t="s">
        <v>3070</v>
      </c>
      <c r="F1040" s="1853" t="s">
        <v>2187</v>
      </c>
      <c r="G1040" s="1853" t="s">
        <v>3071</v>
      </c>
      <c r="H1040" s="1853" t="s">
        <v>1</v>
      </c>
      <c r="I1040" s="1853" t="s">
        <v>687</v>
      </c>
    </row>
    <row r="1041" spans="1:9" ht="11.25" customHeight="1">
      <c r="A1041" s="1853" t="s">
        <v>2101</v>
      </c>
      <c r="B1041" s="1853" t="s">
        <v>0</v>
      </c>
      <c r="C1041" s="1853" t="s">
        <v>3072</v>
      </c>
      <c r="D1041" s="1853" t="s">
        <v>3073</v>
      </c>
      <c r="E1041" s="1853" t="s">
        <v>3074</v>
      </c>
      <c r="F1041" s="1853" t="s">
        <v>2424</v>
      </c>
      <c r="G1041" s="1853" t="s">
        <v>3075</v>
      </c>
      <c r="H1041" s="1853" t="s">
        <v>1</v>
      </c>
      <c r="I1041" s="1853" t="s">
        <v>687</v>
      </c>
    </row>
    <row r="1042" spans="1:9" ht="11.25" customHeight="1">
      <c r="A1042" s="1853" t="s">
        <v>2101</v>
      </c>
      <c r="B1042" s="1853" t="s">
        <v>0</v>
      </c>
      <c r="C1042" s="1853" t="s">
        <v>3076</v>
      </c>
      <c r="D1042" s="1853" t="s">
        <v>3077</v>
      </c>
      <c r="E1042" s="1853" t="s">
        <v>3078</v>
      </c>
      <c r="F1042" s="1853" t="s">
        <v>3079</v>
      </c>
      <c r="G1042" s="1853" t="s">
        <v>3080</v>
      </c>
      <c r="H1042" s="1853" t="s">
        <v>1</v>
      </c>
      <c r="I1042" s="1853" t="s">
        <v>687</v>
      </c>
    </row>
    <row r="1043" spans="1:9" ht="11.25" customHeight="1">
      <c r="A1043" s="1853" t="s">
        <v>2101</v>
      </c>
      <c r="B1043" s="1853" t="s">
        <v>0</v>
      </c>
      <c r="C1043" s="1853" t="s">
        <v>3081</v>
      </c>
      <c r="D1043" s="1853" t="s">
        <v>3082</v>
      </c>
      <c r="E1043" s="1853" t="s">
        <v>3083</v>
      </c>
      <c r="F1043" s="1853" t="s">
        <v>2741</v>
      </c>
      <c r="G1043" s="1853" t="s">
        <v>1</v>
      </c>
      <c r="H1043" s="1853" t="s">
        <v>1</v>
      </c>
      <c r="I1043" s="1853" t="s">
        <v>687</v>
      </c>
    </row>
    <row r="1044" spans="1:9" ht="11.25" customHeight="1">
      <c r="A1044" s="1853" t="s">
        <v>2101</v>
      </c>
      <c r="B1044" s="1853" t="s">
        <v>0</v>
      </c>
      <c r="C1044" s="1853" t="s">
        <v>3084</v>
      </c>
      <c r="D1044" s="1853" t="s">
        <v>3085</v>
      </c>
      <c r="E1044" s="1853" t="s">
        <v>3086</v>
      </c>
      <c r="F1044" s="1853" t="s">
        <v>3087</v>
      </c>
      <c r="G1044" s="1853" t="s">
        <v>3088</v>
      </c>
      <c r="H1044" s="1853" t="s">
        <v>1</v>
      </c>
      <c r="I1044" s="1853" t="s">
        <v>687</v>
      </c>
    </row>
    <row r="1045" spans="1:9" ht="11.25" customHeight="1">
      <c r="A1045" s="1853" t="s">
        <v>2101</v>
      </c>
      <c r="B1045" s="1853" t="s">
        <v>0</v>
      </c>
      <c r="C1045" s="1853" t="s">
        <v>4407</v>
      </c>
      <c r="D1045" s="1853" t="s">
        <v>4408</v>
      </c>
      <c r="E1045" s="1853" t="s">
        <v>4409</v>
      </c>
      <c r="F1045" s="1853" t="s">
        <v>2416</v>
      </c>
      <c r="G1045" s="1853" t="s">
        <v>1</v>
      </c>
      <c r="H1045" s="1853" t="s">
        <v>4410</v>
      </c>
      <c r="I1045" s="1853" t="s">
        <v>687</v>
      </c>
    </row>
    <row r="1046" spans="1:9" ht="11.25" customHeight="1">
      <c r="A1046" s="1853" t="s">
        <v>2101</v>
      </c>
      <c r="B1046" s="1853" t="s">
        <v>0</v>
      </c>
      <c r="C1046" s="1853" t="s">
        <v>3089</v>
      </c>
      <c r="D1046" s="1853" t="s">
        <v>3090</v>
      </c>
      <c r="E1046" s="1853" t="s">
        <v>3091</v>
      </c>
      <c r="F1046" s="1853" t="s">
        <v>2141</v>
      </c>
      <c r="G1046" s="1853" t="s">
        <v>1</v>
      </c>
      <c r="H1046" s="1853" t="s">
        <v>1</v>
      </c>
      <c r="I1046" s="1853" t="s">
        <v>687</v>
      </c>
    </row>
    <row r="1047" spans="1:9" ht="11.25" customHeight="1">
      <c r="A1047" s="1853" t="s">
        <v>2101</v>
      </c>
      <c r="B1047" s="1853" t="s">
        <v>0</v>
      </c>
      <c r="C1047" s="1853" t="s">
        <v>3095</v>
      </c>
      <c r="D1047" s="1853" t="s">
        <v>3096</v>
      </c>
      <c r="E1047" s="1853" t="s">
        <v>3097</v>
      </c>
      <c r="F1047" s="1853" t="s">
        <v>3098</v>
      </c>
      <c r="G1047" s="1853" t="s">
        <v>3099</v>
      </c>
      <c r="H1047" s="1853" t="s">
        <v>1</v>
      </c>
      <c r="I1047" s="1853" t="s">
        <v>687</v>
      </c>
    </row>
    <row r="1048" spans="1:9" ht="11.25" customHeight="1">
      <c r="A1048" s="1853" t="s">
        <v>2101</v>
      </c>
      <c r="B1048" s="1853" t="s">
        <v>0</v>
      </c>
      <c r="C1048" s="1853" t="s">
        <v>3100</v>
      </c>
      <c r="D1048" s="1853" t="s">
        <v>3101</v>
      </c>
      <c r="E1048" s="1853" t="s">
        <v>3102</v>
      </c>
      <c r="F1048" s="1853" t="s">
        <v>2141</v>
      </c>
      <c r="G1048" s="1853" t="s">
        <v>1</v>
      </c>
      <c r="H1048" s="1853" t="s">
        <v>1</v>
      </c>
      <c r="I1048" s="1853" t="s">
        <v>687</v>
      </c>
    </row>
    <row r="1049" spans="1:9" ht="11.25" customHeight="1">
      <c r="A1049" s="1853" t="s">
        <v>2101</v>
      </c>
      <c r="B1049" s="1853" t="s">
        <v>0</v>
      </c>
      <c r="C1049" s="1853" t="s">
        <v>3103</v>
      </c>
      <c r="D1049" s="1853" t="s">
        <v>3104</v>
      </c>
      <c r="E1049" s="1853" t="s">
        <v>3105</v>
      </c>
      <c r="F1049" s="1853" t="s">
        <v>3106</v>
      </c>
      <c r="G1049" s="1853" t="s">
        <v>1</v>
      </c>
      <c r="H1049" s="1853" t="s">
        <v>1</v>
      </c>
      <c r="I1049" s="1853" t="s">
        <v>687</v>
      </c>
    </row>
    <row r="1050" spans="1:9" ht="11.25" customHeight="1">
      <c r="A1050" s="1853" t="s">
        <v>2101</v>
      </c>
      <c r="B1050" s="1853" t="s">
        <v>0</v>
      </c>
      <c r="C1050" s="1853" t="s">
        <v>4411</v>
      </c>
      <c r="D1050" s="1853" t="s">
        <v>4412</v>
      </c>
      <c r="E1050" s="1853" t="s">
        <v>4413</v>
      </c>
      <c r="F1050" s="1853" t="s">
        <v>2105</v>
      </c>
      <c r="G1050" s="1853" t="s">
        <v>1</v>
      </c>
      <c r="H1050" s="1853" t="s">
        <v>1</v>
      </c>
      <c r="I1050" s="1853" t="s">
        <v>687</v>
      </c>
    </row>
    <row r="1051" spans="1:9" ht="11.25" customHeight="1">
      <c r="A1051" s="1853" t="s">
        <v>2101</v>
      </c>
      <c r="B1051" s="1853" t="s">
        <v>0</v>
      </c>
      <c r="C1051" s="1853" t="s">
        <v>3129</v>
      </c>
      <c r="D1051" s="1853" t="s">
        <v>3130</v>
      </c>
      <c r="E1051" s="1853" t="s">
        <v>3131</v>
      </c>
      <c r="F1051" s="1853" t="s">
        <v>2178</v>
      </c>
      <c r="G1051" s="1853" t="s">
        <v>1</v>
      </c>
      <c r="H1051" s="1853" t="s">
        <v>1</v>
      </c>
      <c r="I1051" s="1853" t="s">
        <v>687</v>
      </c>
    </row>
    <row r="1052" spans="1:9" ht="11.25" customHeight="1">
      <c r="A1052" s="1853" t="s">
        <v>2101</v>
      </c>
      <c r="B1052" s="1853" t="s">
        <v>0</v>
      </c>
      <c r="C1052" s="1853" t="s">
        <v>3138</v>
      </c>
      <c r="D1052" s="1853" t="s">
        <v>3139</v>
      </c>
      <c r="E1052" s="1853" t="s">
        <v>3140</v>
      </c>
      <c r="F1052" s="1853" t="s">
        <v>2141</v>
      </c>
      <c r="G1052" s="1853" t="s">
        <v>1</v>
      </c>
      <c r="H1052" s="1853" t="s">
        <v>1</v>
      </c>
      <c r="I1052" s="1853" t="s">
        <v>687</v>
      </c>
    </row>
    <row r="1053" spans="1:9" ht="11.25" customHeight="1">
      <c r="A1053" s="1853" t="s">
        <v>2101</v>
      </c>
      <c r="B1053" s="1853" t="s">
        <v>0</v>
      </c>
      <c r="C1053" s="1853" t="s">
        <v>4414</v>
      </c>
      <c r="D1053" s="1853" t="s">
        <v>4415</v>
      </c>
      <c r="E1053" s="1853" t="s">
        <v>4416</v>
      </c>
      <c r="F1053" s="1853" t="s">
        <v>2196</v>
      </c>
      <c r="G1053" s="1853" t="s">
        <v>1</v>
      </c>
      <c r="H1053" s="1853" t="s">
        <v>1</v>
      </c>
      <c r="I1053" s="1853" t="s">
        <v>687</v>
      </c>
    </row>
    <row r="1054" spans="1:9" ht="11.25" customHeight="1">
      <c r="A1054" s="1853" t="s">
        <v>2101</v>
      </c>
      <c r="B1054" s="1853" t="s">
        <v>0</v>
      </c>
      <c r="C1054" s="1853" t="s">
        <v>3150</v>
      </c>
      <c r="D1054" s="1853" t="s">
        <v>3151</v>
      </c>
      <c r="E1054" s="1853" t="s">
        <v>3152</v>
      </c>
      <c r="F1054" s="1853" t="s">
        <v>2105</v>
      </c>
      <c r="G1054" s="1853" t="s">
        <v>1</v>
      </c>
      <c r="H1054" s="1853" t="s">
        <v>1</v>
      </c>
      <c r="I1054" s="1853" t="s">
        <v>687</v>
      </c>
    </row>
    <row r="1055" spans="1:9" ht="11.25" customHeight="1">
      <c r="A1055" s="1853" t="s">
        <v>2101</v>
      </c>
      <c r="B1055" s="1853" t="s">
        <v>0</v>
      </c>
      <c r="C1055" s="1853" t="s">
        <v>3170</v>
      </c>
      <c r="D1055" s="1853" t="s">
        <v>3171</v>
      </c>
      <c r="E1055" s="1853" t="s">
        <v>3172</v>
      </c>
      <c r="F1055" s="1853" t="s">
        <v>3173</v>
      </c>
      <c r="G1055" s="1853" t="s">
        <v>1</v>
      </c>
      <c r="H1055" s="1853" t="s">
        <v>1</v>
      </c>
      <c r="I1055" s="1853" t="s">
        <v>687</v>
      </c>
    </row>
    <row r="1056" spans="1:9" ht="11.25" customHeight="1">
      <c r="A1056" s="1853" t="s">
        <v>2101</v>
      </c>
      <c r="B1056" s="1853" t="s">
        <v>0</v>
      </c>
      <c r="C1056" s="1853" t="s">
        <v>3177</v>
      </c>
      <c r="D1056" s="1853" t="s">
        <v>3178</v>
      </c>
      <c r="E1056" s="1853" t="s">
        <v>3179</v>
      </c>
      <c r="F1056" s="1853" t="s">
        <v>3180</v>
      </c>
      <c r="G1056" s="1853" t="s">
        <v>1</v>
      </c>
      <c r="H1056" s="1853" t="s">
        <v>1</v>
      </c>
      <c r="I1056" s="1853" t="s">
        <v>687</v>
      </c>
    </row>
    <row r="1057" spans="1:9" ht="11.25" customHeight="1">
      <c r="A1057" s="1853" t="s">
        <v>2101</v>
      </c>
      <c r="B1057" s="1853" t="s">
        <v>0</v>
      </c>
      <c r="C1057" s="1853" t="s">
        <v>4417</v>
      </c>
      <c r="D1057" s="1853" t="s">
        <v>4418</v>
      </c>
      <c r="E1057" s="1853" t="s">
        <v>4419</v>
      </c>
      <c r="F1057" s="1853" t="s">
        <v>2528</v>
      </c>
      <c r="G1057" s="1853" t="s">
        <v>1</v>
      </c>
      <c r="H1057" s="1853" t="s">
        <v>1</v>
      </c>
      <c r="I1057" s="1853" t="s">
        <v>687</v>
      </c>
    </row>
    <row r="1058" spans="1:9" ht="11.25" customHeight="1">
      <c r="A1058" s="1853" t="s">
        <v>2101</v>
      </c>
      <c r="B1058" s="1853" t="s">
        <v>0</v>
      </c>
      <c r="C1058" s="1853" t="s">
        <v>4420</v>
      </c>
      <c r="D1058" s="1853" t="s">
        <v>4421</v>
      </c>
      <c r="E1058" s="1853" t="s">
        <v>4422</v>
      </c>
      <c r="F1058" s="1853" t="s">
        <v>2159</v>
      </c>
      <c r="G1058" s="1853" t="s">
        <v>1</v>
      </c>
      <c r="H1058" s="1853" t="s">
        <v>1</v>
      </c>
      <c r="I1058" s="1853" t="s">
        <v>687</v>
      </c>
    </row>
    <row r="1059" spans="1:9" ht="11.25" customHeight="1">
      <c r="A1059" s="1853" t="s">
        <v>2101</v>
      </c>
      <c r="B1059" s="1853" t="s">
        <v>0</v>
      </c>
      <c r="C1059" s="1853" t="s">
        <v>3188</v>
      </c>
      <c r="D1059" s="1853" t="s">
        <v>3189</v>
      </c>
      <c r="E1059" s="1853" t="s">
        <v>3190</v>
      </c>
      <c r="F1059" s="1853" t="s">
        <v>2329</v>
      </c>
      <c r="G1059" s="1853" t="s">
        <v>1</v>
      </c>
      <c r="H1059" s="1853" t="s">
        <v>1</v>
      </c>
      <c r="I1059" s="1853" t="s">
        <v>687</v>
      </c>
    </row>
    <row r="1060" spans="1:9" ht="11.25" customHeight="1">
      <c r="A1060" s="1853" t="s">
        <v>2101</v>
      </c>
      <c r="B1060" s="1853" t="s">
        <v>0</v>
      </c>
      <c r="C1060" s="1853" t="s">
        <v>3206</v>
      </c>
      <c r="D1060" s="1853" t="s">
        <v>3207</v>
      </c>
      <c r="E1060" s="1853" t="s">
        <v>3208</v>
      </c>
      <c r="F1060" s="1853" t="s">
        <v>2424</v>
      </c>
      <c r="G1060" s="1853" t="s">
        <v>1</v>
      </c>
      <c r="H1060" s="1853" t="s">
        <v>1</v>
      </c>
      <c r="I1060" s="1853" t="s">
        <v>687</v>
      </c>
    </row>
    <row r="1061" spans="1:9" ht="11.25" customHeight="1">
      <c r="A1061" s="1853" t="s">
        <v>2101</v>
      </c>
      <c r="B1061" s="1853" t="s">
        <v>0</v>
      </c>
      <c r="C1061" s="1853" t="s">
        <v>4423</v>
      </c>
      <c r="D1061" s="1853" t="s">
        <v>4424</v>
      </c>
      <c r="E1061" s="1853" t="s">
        <v>4425</v>
      </c>
      <c r="F1061" s="1853" t="s">
        <v>2105</v>
      </c>
      <c r="G1061" s="1853" t="s">
        <v>1</v>
      </c>
      <c r="H1061" s="1853" t="s">
        <v>1</v>
      </c>
      <c r="I1061" s="1853" t="s">
        <v>687</v>
      </c>
    </row>
    <row r="1062" spans="1:9" ht="11.25" customHeight="1">
      <c r="A1062" s="1853" t="s">
        <v>2101</v>
      </c>
      <c r="B1062" s="1853" t="s">
        <v>0</v>
      </c>
      <c r="C1062" s="1853" t="s">
        <v>4426</v>
      </c>
      <c r="D1062" s="1853" t="s">
        <v>4427</v>
      </c>
      <c r="E1062" s="1853" t="s">
        <v>4428</v>
      </c>
      <c r="F1062" s="1853" t="s">
        <v>2105</v>
      </c>
      <c r="G1062" s="1853" t="s">
        <v>1</v>
      </c>
      <c r="H1062" s="1853" t="s">
        <v>1</v>
      </c>
      <c r="I1062" s="1853" t="s">
        <v>687</v>
      </c>
    </row>
    <row r="1063" spans="1:9" ht="11.25" customHeight="1">
      <c r="A1063" s="1853" t="s">
        <v>2101</v>
      </c>
      <c r="B1063" s="1853" t="s">
        <v>0</v>
      </c>
      <c r="C1063" s="1853" t="s">
        <v>3244</v>
      </c>
      <c r="D1063" s="1853" t="s">
        <v>3245</v>
      </c>
      <c r="E1063" s="1853" t="s">
        <v>3246</v>
      </c>
      <c r="F1063" s="1853" t="s">
        <v>2416</v>
      </c>
      <c r="G1063" s="1853" t="s">
        <v>1</v>
      </c>
      <c r="H1063" s="1853" t="s">
        <v>1</v>
      </c>
      <c r="I1063" s="1853" t="s">
        <v>687</v>
      </c>
    </row>
    <row r="1064" spans="1:9" ht="11.25" customHeight="1">
      <c r="A1064" s="1853" t="s">
        <v>2101</v>
      </c>
      <c r="B1064" s="1853" t="s">
        <v>0</v>
      </c>
      <c r="C1064" s="1853" t="s">
        <v>3247</v>
      </c>
      <c r="D1064" s="1853" t="s">
        <v>3248</v>
      </c>
      <c r="E1064" s="1853" t="s">
        <v>3249</v>
      </c>
      <c r="F1064" s="1853" t="s">
        <v>12</v>
      </c>
      <c r="G1064" s="1853" t="s">
        <v>1</v>
      </c>
      <c r="H1064" s="1853" t="s">
        <v>1</v>
      </c>
      <c r="I1064" s="1853" t="s">
        <v>687</v>
      </c>
    </row>
    <row r="1065" spans="1:9" ht="11.25" customHeight="1">
      <c r="A1065" s="1853" t="s">
        <v>2101</v>
      </c>
      <c r="B1065" s="1853" t="s">
        <v>0</v>
      </c>
      <c r="C1065" s="1853" t="s">
        <v>3250</v>
      </c>
      <c r="D1065" s="1853" t="s">
        <v>3251</v>
      </c>
      <c r="E1065" s="1853" t="s">
        <v>3252</v>
      </c>
      <c r="F1065" s="1853" t="s">
        <v>2416</v>
      </c>
      <c r="G1065" s="1853" t="s">
        <v>1</v>
      </c>
      <c r="H1065" s="1853" t="s">
        <v>1</v>
      </c>
      <c r="I1065" s="1853" t="s">
        <v>687</v>
      </c>
    </row>
    <row r="1066" spans="1:9" ht="11.25" customHeight="1">
      <c r="A1066" s="1853" t="s">
        <v>2101</v>
      </c>
      <c r="B1066" s="1853" t="s">
        <v>0</v>
      </c>
      <c r="C1066" s="1853" t="s">
        <v>3253</v>
      </c>
      <c r="D1066" s="1853" t="s">
        <v>3254</v>
      </c>
      <c r="E1066" s="1853" t="s">
        <v>3255</v>
      </c>
      <c r="F1066" s="1853" t="s">
        <v>2141</v>
      </c>
      <c r="G1066" s="1853" t="s">
        <v>1</v>
      </c>
      <c r="H1066" s="1853" t="s">
        <v>1</v>
      </c>
      <c r="I1066" s="1853" t="s">
        <v>687</v>
      </c>
    </row>
    <row r="1067" spans="1:9" ht="11.25" customHeight="1">
      <c r="A1067" s="1853" t="s">
        <v>2101</v>
      </c>
      <c r="B1067" s="1853" t="s">
        <v>0</v>
      </c>
      <c r="C1067" s="1853" t="s">
        <v>4429</v>
      </c>
      <c r="D1067" s="1853" t="s">
        <v>4430</v>
      </c>
      <c r="E1067" s="1853" t="s">
        <v>4431</v>
      </c>
      <c r="F1067" s="1853" t="s">
        <v>2105</v>
      </c>
      <c r="G1067" s="1853" t="s">
        <v>1</v>
      </c>
      <c r="H1067" s="1853" t="s">
        <v>1</v>
      </c>
      <c r="I1067" s="1853" t="s">
        <v>687</v>
      </c>
    </row>
    <row r="1068" spans="1:9" ht="11.25" customHeight="1">
      <c r="A1068" s="1853" t="s">
        <v>2101</v>
      </c>
      <c r="B1068" s="1853" t="s">
        <v>0</v>
      </c>
      <c r="C1068" s="1853" t="s">
        <v>3268</v>
      </c>
      <c r="D1068" s="1853" t="s">
        <v>3269</v>
      </c>
      <c r="E1068" s="1853" t="s">
        <v>3270</v>
      </c>
      <c r="F1068" s="1853" t="s">
        <v>2230</v>
      </c>
      <c r="G1068" s="1853" t="s">
        <v>1</v>
      </c>
      <c r="H1068" s="1853" t="s">
        <v>1</v>
      </c>
      <c r="I1068" s="1853" t="s">
        <v>687</v>
      </c>
    </row>
    <row r="1069" spans="1:9" ht="11.25" customHeight="1">
      <c r="A1069" s="1853" t="s">
        <v>2101</v>
      </c>
      <c r="B1069" s="1853" t="s">
        <v>0</v>
      </c>
      <c r="C1069" s="1853" t="s">
        <v>4432</v>
      </c>
      <c r="D1069" s="1853" t="s">
        <v>4433</v>
      </c>
      <c r="E1069" s="1853" t="s">
        <v>4434</v>
      </c>
      <c r="F1069" s="1853" t="s">
        <v>2230</v>
      </c>
      <c r="G1069" s="1853" t="s">
        <v>1</v>
      </c>
      <c r="H1069" s="1853" t="s">
        <v>1</v>
      </c>
      <c r="I1069" s="1853" t="s">
        <v>687</v>
      </c>
    </row>
    <row r="1070" spans="1:9" ht="11.25" customHeight="1">
      <c r="A1070" s="1853" t="s">
        <v>2101</v>
      </c>
      <c r="B1070" s="1853" t="s">
        <v>0</v>
      </c>
      <c r="C1070" s="1853" t="s">
        <v>3298</v>
      </c>
      <c r="D1070" s="1853" t="s">
        <v>3299</v>
      </c>
      <c r="E1070" s="1853" t="s">
        <v>3300</v>
      </c>
      <c r="F1070" s="1853" t="s">
        <v>2105</v>
      </c>
      <c r="G1070" s="1853" t="s">
        <v>1</v>
      </c>
      <c r="H1070" s="1853" t="s">
        <v>1</v>
      </c>
      <c r="I1070" s="1853" t="s">
        <v>687</v>
      </c>
    </row>
    <row r="1071" spans="1:9" ht="11.25" customHeight="1">
      <c r="A1071" s="1853" t="s">
        <v>2101</v>
      </c>
      <c r="B1071" s="1853" t="s">
        <v>0</v>
      </c>
      <c r="C1071" s="1853" t="s">
        <v>4435</v>
      </c>
      <c r="D1071" s="1853" t="s">
        <v>4436</v>
      </c>
      <c r="E1071" s="1853" t="s">
        <v>4437</v>
      </c>
      <c r="F1071" s="1853" t="s">
        <v>2222</v>
      </c>
      <c r="G1071" s="1853" t="s">
        <v>1</v>
      </c>
      <c r="H1071" s="1853" t="s">
        <v>1</v>
      </c>
      <c r="I1071" s="1853" t="s">
        <v>687</v>
      </c>
    </row>
    <row r="1072" spans="1:9" ht="11.25" customHeight="1">
      <c r="A1072" s="1853" t="s">
        <v>2101</v>
      </c>
      <c r="B1072" s="1853" t="s">
        <v>0</v>
      </c>
      <c r="C1072" s="1853" t="s">
        <v>3324</v>
      </c>
      <c r="D1072" s="1853" t="s">
        <v>3325</v>
      </c>
      <c r="E1072" s="1853" t="s">
        <v>3326</v>
      </c>
      <c r="F1072" s="1853" t="s">
        <v>2149</v>
      </c>
      <c r="G1072" s="1853" t="s">
        <v>1</v>
      </c>
      <c r="H1072" s="1853" t="s">
        <v>1</v>
      </c>
      <c r="I1072" s="1853" t="s">
        <v>687</v>
      </c>
    </row>
    <row r="1073" spans="1:9" ht="11.25" customHeight="1">
      <c r="A1073" s="1853" t="s">
        <v>2101</v>
      </c>
      <c r="B1073" s="1853" t="s">
        <v>0</v>
      </c>
      <c r="C1073" s="1853" t="s">
        <v>3345</v>
      </c>
      <c r="D1073" s="1853" t="s">
        <v>3346</v>
      </c>
      <c r="E1073" s="1853" t="s">
        <v>2113</v>
      </c>
      <c r="F1073" s="1853" t="s">
        <v>2308</v>
      </c>
      <c r="G1073" s="1853" t="s">
        <v>1</v>
      </c>
      <c r="H1073" s="1853" t="s">
        <v>1</v>
      </c>
      <c r="I1073" s="1853" t="s">
        <v>687</v>
      </c>
    </row>
    <row r="1074" spans="1:9" ht="11.25" customHeight="1">
      <c r="A1074" s="1853" t="s">
        <v>2101</v>
      </c>
      <c r="B1074" s="1853" t="s">
        <v>0</v>
      </c>
      <c r="C1074" s="1853" t="s">
        <v>3347</v>
      </c>
      <c r="D1074" s="1853" t="s">
        <v>3348</v>
      </c>
      <c r="E1074" s="1853" t="s">
        <v>2247</v>
      </c>
      <c r="F1074" s="1853" t="s">
        <v>3349</v>
      </c>
      <c r="G1074" s="1853" t="s">
        <v>2251</v>
      </c>
      <c r="H1074" s="1853" t="s">
        <v>1</v>
      </c>
      <c r="I1074" s="1853" t="s">
        <v>687</v>
      </c>
    </row>
    <row r="1075" spans="1:9" ht="11.25" customHeight="1">
      <c r="A1075" s="1853" t="s">
        <v>2101</v>
      </c>
      <c r="B1075" s="1853" t="s">
        <v>0</v>
      </c>
      <c r="C1075" s="1853" t="s">
        <v>4438</v>
      </c>
      <c r="D1075" s="1853" t="s">
        <v>4439</v>
      </c>
      <c r="E1075" s="1853" t="s">
        <v>4440</v>
      </c>
      <c r="F1075" s="1853" t="s">
        <v>2568</v>
      </c>
      <c r="G1075" s="1853" t="s">
        <v>1</v>
      </c>
      <c r="H1075" s="1853" t="s">
        <v>1</v>
      </c>
      <c r="I1075" s="1853" t="s">
        <v>687</v>
      </c>
    </row>
    <row r="1076" spans="1:9" ht="11.25" customHeight="1">
      <c r="A1076" s="1853" t="s">
        <v>2101</v>
      </c>
      <c r="B1076" s="1853" t="s">
        <v>0</v>
      </c>
      <c r="C1076" s="1853" t="s">
        <v>3350</v>
      </c>
      <c r="D1076" s="1853" t="s">
        <v>3351</v>
      </c>
      <c r="E1076" s="1853" t="s">
        <v>3352</v>
      </c>
      <c r="F1076" s="1853" t="s">
        <v>2424</v>
      </c>
      <c r="G1076" s="1853" t="s">
        <v>1</v>
      </c>
      <c r="H1076" s="1853" t="s">
        <v>1</v>
      </c>
      <c r="I1076" s="1853" t="s">
        <v>687</v>
      </c>
    </row>
    <row r="1077" spans="1:9" ht="11.25" customHeight="1">
      <c r="A1077" s="1853" t="s">
        <v>2101</v>
      </c>
      <c r="B1077" s="1853" t="s">
        <v>0</v>
      </c>
      <c r="C1077" s="1853" t="s">
        <v>4441</v>
      </c>
      <c r="D1077" s="1853" t="s">
        <v>4442</v>
      </c>
      <c r="E1077" s="1853" t="s">
        <v>4443</v>
      </c>
      <c r="F1077" s="1853" t="s">
        <v>2230</v>
      </c>
      <c r="G1077" s="1853" t="s">
        <v>1</v>
      </c>
      <c r="H1077" s="1853" t="s">
        <v>1</v>
      </c>
      <c r="I1077" s="1853" t="s">
        <v>687</v>
      </c>
    </row>
    <row r="1078" spans="1:9" ht="11.25" customHeight="1">
      <c r="A1078" s="1853" t="s">
        <v>2101</v>
      </c>
      <c r="B1078" s="1853" t="s">
        <v>0</v>
      </c>
      <c r="C1078" s="1853" t="s">
        <v>4444</v>
      </c>
      <c r="D1078" s="1853" t="s">
        <v>4445</v>
      </c>
      <c r="E1078" s="1853" t="s">
        <v>4446</v>
      </c>
      <c r="F1078" s="1853" t="s">
        <v>2841</v>
      </c>
      <c r="G1078" s="1853" t="s">
        <v>4447</v>
      </c>
      <c r="H1078" s="1853" t="s">
        <v>1</v>
      </c>
      <c r="I1078" s="1853" t="s">
        <v>687</v>
      </c>
    </row>
    <row r="1079" spans="1:9" ht="11.25" customHeight="1">
      <c r="A1079" s="1853" t="s">
        <v>2101</v>
      </c>
      <c r="B1079" s="1853" t="s">
        <v>0</v>
      </c>
      <c r="C1079" s="1853" t="s">
        <v>4448</v>
      </c>
      <c r="D1079" s="1853" t="s">
        <v>4449</v>
      </c>
      <c r="E1079" s="1853" t="s">
        <v>4450</v>
      </c>
      <c r="F1079" s="1853" t="s">
        <v>3878</v>
      </c>
      <c r="G1079" s="1853" t="s">
        <v>1</v>
      </c>
      <c r="H1079" s="1853" t="s">
        <v>4451</v>
      </c>
      <c r="I1079" s="1853" t="s">
        <v>687</v>
      </c>
    </row>
    <row r="1080" spans="1:9" ht="11.25" customHeight="1">
      <c r="A1080" s="1853" t="s">
        <v>2101</v>
      </c>
      <c r="B1080" s="1853" t="s">
        <v>0</v>
      </c>
      <c r="C1080" s="1853" t="s">
        <v>3371</v>
      </c>
      <c r="D1080" s="1853" t="s">
        <v>3372</v>
      </c>
      <c r="E1080" s="1853" t="s">
        <v>3373</v>
      </c>
      <c r="F1080" s="1853" t="s">
        <v>2572</v>
      </c>
      <c r="G1080" s="1853" t="s">
        <v>3374</v>
      </c>
      <c r="H1080" s="1853" t="s">
        <v>1</v>
      </c>
      <c r="I1080" s="1853" t="s">
        <v>687</v>
      </c>
    </row>
    <row r="1081" spans="1:9" ht="11.25" customHeight="1">
      <c r="A1081" s="1853" t="s">
        <v>2101</v>
      </c>
      <c r="B1081" s="1853" t="s">
        <v>0</v>
      </c>
      <c r="C1081" s="1853" t="s">
        <v>4452</v>
      </c>
      <c r="D1081" s="1853" t="s">
        <v>4453</v>
      </c>
      <c r="E1081" s="1853" t="s">
        <v>4454</v>
      </c>
      <c r="F1081" s="1853" t="s">
        <v>2613</v>
      </c>
      <c r="G1081" s="1853" t="s">
        <v>1</v>
      </c>
      <c r="H1081" s="1853" t="s">
        <v>1</v>
      </c>
      <c r="I1081" s="1853" t="s">
        <v>687</v>
      </c>
    </row>
    <row r="1082" spans="1:9" ht="11.25" customHeight="1">
      <c r="A1082" s="1853" t="s">
        <v>2101</v>
      </c>
      <c r="B1082" s="1853" t="s">
        <v>0</v>
      </c>
      <c r="C1082" s="1853" t="s">
        <v>4455</v>
      </c>
      <c r="D1082" s="1853" t="s">
        <v>4456</v>
      </c>
      <c r="E1082" s="1853" t="s">
        <v>4457</v>
      </c>
      <c r="F1082" s="1853" t="s">
        <v>2222</v>
      </c>
      <c r="G1082" s="1853" t="s">
        <v>1</v>
      </c>
      <c r="H1082" s="1853" t="s">
        <v>1</v>
      </c>
      <c r="I1082" s="1853" t="s">
        <v>687</v>
      </c>
    </row>
    <row r="1083" spans="1:9" ht="11.25" customHeight="1">
      <c r="A1083" s="1853" t="s">
        <v>2101</v>
      </c>
      <c r="B1083" s="1853" t="s">
        <v>0</v>
      </c>
      <c r="C1083" s="1853" t="s">
        <v>3391</v>
      </c>
      <c r="D1083" s="1853" t="s">
        <v>3392</v>
      </c>
      <c r="E1083" s="1853" t="s">
        <v>3393</v>
      </c>
      <c r="F1083" s="1853" t="s">
        <v>2572</v>
      </c>
      <c r="G1083" s="1853" t="s">
        <v>3394</v>
      </c>
      <c r="H1083" s="1853" t="s">
        <v>1</v>
      </c>
      <c r="I1083" s="1853" t="s">
        <v>687</v>
      </c>
    </row>
    <row r="1084" spans="1:9" ht="11.25" customHeight="1">
      <c r="A1084" s="1853" t="s">
        <v>2101</v>
      </c>
      <c r="B1084" s="1853" t="s">
        <v>0</v>
      </c>
      <c r="C1084" s="1853" t="s">
        <v>3402</v>
      </c>
      <c r="D1084" s="1853" t="s">
        <v>3403</v>
      </c>
      <c r="E1084" s="1853" t="s">
        <v>3404</v>
      </c>
      <c r="F1084" s="1853" t="s">
        <v>2613</v>
      </c>
      <c r="G1084" s="1853" t="s">
        <v>3405</v>
      </c>
      <c r="H1084" s="1853" t="s">
        <v>1</v>
      </c>
      <c r="I1084" s="1853" t="s">
        <v>687</v>
      </c>
    </row>
    <row r="1085" spans="1:9" ht="11.25" customHeight="1">
      <c r="A1085" s="1853" t="s">
        <v>2101</v>
      </c>
      <c r="B1085" s="1853" t="s">
        <v>0</v>
      </c>
      <c r="C1085" s="1853" t="s">
        <v>4458</v>
      </c>
      <c r="D1085" s="1853" t="s">
        <v>4459</v>
      </c>
      <c r="E1085" s="1853" t="s">
        <v>4460</v>
      </c>
      <c r="F1085" s="1853" t="s">
        <v>4461</v>
      </c>
      <c r="G1085" s="1853" t="s">
        <v>4462</v>
      </c>
      <c r="H1085" s="1853" t="s">
        <v>1</v>
      </c>
      <c r="I1085" s="1853" t="s">
        <v>687</v>
      </c>
    </row>
    <row r="1086" spans="1:9" ht="11.25" customHeight="1">
      <c r="A1086" s="1853" t="s">
        <v>2101</v>
      </c>
      <c r="B1086" s="1853" t="s">
        <v>0</v>
      </c>
      <c r="C1086" s="1853" t="s">
        <v>4463</v>
      </c>
      <c r="D1086" s="1853" t="s">
        <v>4464</v>
      </c>
      <c r="E1086" s="1853" t="s">
        <v>4465</v>
      </c>
      <c r="F1086" s="1853" t="s">
        <v>2211</v>
      </c>
      <c r="G1086" s="1853" t="s">
        <v>1</v>
      </c>
      <c r="H1086" s="1853" t="s">
        <v>1</v>
      </c>
      <c r="I1086" s="1853" t="s">
        <v>687</v>
      </c>
    </row>
    <row r="1087" spans="1:9" ht="11.25" customHeight="1">
      <c r="A1087" s="1853" t="s">
        <v>2101</v>
      </c>
      <c r="B1087" s="1853" t="s">
        <v>0</v>
      </c>
      <c r="C1087" s="1853" t="s">
        <v>3413</v>
      </c>
      <c r="D1087" s="1853" t="s">
        <v>3414</v>
      </c>
      <c r="E1087" s="1853" t="s">
        <v>3415</v>
      </c>
      <c r="F1087" s="1853" t="s">
        <v>2222</v>
      </c>
      <c r="G1087" s="1853" t="s">
        <v>1</v>
      </c>
      <c r="H1087" s="1853" t="s">
        <v>1</v>
      </c>
      <c r="I1087" s="1853" t="s">
        <v>687</v>
      </c>
    </row>
    <row r="1088" spans="1:9" ht="11.25" customHeight="1">
      <c r="A1088" s="1853" t="s">
        <v>2101</v>
      </c>
      <c r="B1088" s="1853" t="s">
        <v>0</v>
      </c>
      <c r="C1088" s="1853" t="s">
        <v>3416</v>
      </c>
      <c r="D1088" s="1853" t="s">
        <v>3417</v>
      </c>
      <c r="E1088" s="1853" t="s">
        <v>3418</v>
      </c>
      <c r="F1088" s="1853" t="s">
        <v>12</v>
      </c>
      <c r="G1088" s="1853" t="s">
        <v>1</v>
      </c>
      <c r="H1088" s="1853" t="s">
        <v>1</v>
      </c>
      <c r="I1088" s="1853" t="s">
        <v>687</v>
      </c>
    </row>
    <row r="1089" spans="1:9" ht="11.25" customHeight="1">
      <c r="A1089" s="1853" t="s">
        <v>2101</v>
      </c>
      <c r="B1089" s="1853" t="s">
        <v>0</v>
      </c>
      <c r="C1089" s="1853" t="s">
        <v>4466</v>
      </c>
      <c r="D1089" s="1853" t="s">
        <v>4467</v>
      </c>
      <c r="E1089" s="1853" t="s">
        <v>4468</v>
      </c>
      <c r="F1089" s="1853" t="s">
        <v>2132</v>
      </c>
      <c r="G1089" s="1853" t="s">
        <v>4469</v>
      </c>
      <c r="H1089" s="1853" t="s">
        <v>1</v>
      </c>
      <c r="I1089" s="1853" t="s">
        <v>687</v>
      </c>
    </row>
    <row r="1090" spans="1:9" ht="11.25" customHeight="1">
      <c r="A1090" s="1853" t="s">
        <v>2101</v>
      </c>
      <c r="B1090" s="1853" t="s">
        <v>0</v>
      </c>
      <c r="C1090" s="1853" t="s">
        <v>4470</v>
      </c>
      <c r="D1090" s="1853" t="s">
        <v>4471</v>
      </c>
      <c r="E1090" s="1853" t="s">
        <v>4472</v>
      </c>
      <c r="F1090" s="1853" t="s">
        <v>2141</v>
      </c>
      <c r="G1090" s="1853" t="s">
        <v>4473</v>
      </c>
      <c r="H1090" s="1853" t="s">
        <v>1</v>
      </c>
      <c r="I1090" s="1853" t="s">
        <v>687</v>
      </c>
    </row>
    <row r="1091" spans="1:9" ht="11.25" customHeight="1">
      <c r="A1091" s="1853" t="s">
        <v>2101</v>
      </c>
      <c r="B1091" s="1853" t="s">
        <v>0</v>
      </c>
      <c r="C1091" s="1853" t="s">
        <v>4474</v>
      </c>
      <c r="D1091" s="1853" t="s">
        <v>4475</v>
      </c>
      <c r="E1091" s="1853" t="s">
        <v>4476</v>
      </c>
      <c r="F1091" s="1853" t="s">
        <v>2196</v>
      </c>
      <c r="G1091" s="1853" t="s">
        <v>4477</v>
      </c>
      <c r="H1091" s="1853" t="s">
        <v>1</v>
      </c>
      <c r="I1091" s="1853" t="s">
        <v>687</v>
      </c>
    </row>
    <row r="1092" spans="1:9" ht="11.25" customHeight="1">
      <c r="A1092" s="1853" t="s">
        <v>2101</v>
      </c>
      <c r="B1092" s="1853" t="s">
        <v>0</v>
      </c>
      <c r="C1092" s="1853" t="s">
        <v>3430</v>
      </c>
      <c r="D1092" s="1853" t="s">
        <v>3431</v>
      </c>
      <c r="E1092" s="1853" t="s">
        <v>3432</v>
      </c>
      <c r="F1092" s="1853" t="s">
        <v>3433</v>
      </c>
      <c r="G1092" s="1853" t="s">
        <v>1</v>
      </c>
      <c r="H1092" s="1853" t="s">
        <v>1</v>
      </c>
      <c r="I1092" s="1853" t="s">
        <v>687</v>
      </c>
    </row>
    <row r="1093" spans="1:9" ht="11.25" customHeight="1">
      <c r="A1093" s="1853" t="s">
        <v>2101</v>
      </c>
      <c r="B1093" s="1853" t="s">
        <v>0</v>
      </c>
      <c r="C1093" s="1853" t="s">
        <v>4478</v>
      </c>
      <c r="D1093" s="1853" t="s">
        <v>4479</v>
      </c>
      <c r="E1093" s="1853" t="s">
        <v>3432</v>
      </c>
      <c r="F1093" s="1853" t="s">
        <v>4480</v>
      </c>
      <c r="G1093" s="1853" t="s">
        <v>4481</v>
      </c>
      <c r="H1093" s="1853" t="s">
        <v>1</v>
      </c>
      <c r="I1093" s="1853" t="s">
        <v>687</v>
      </c>
    </row>
    <row r="1094" spans="1:9" ht="11.25" customHeight="1">
      <c r="A1094" s="1853" t="s">
        <v>2101</v>
      </c>
      <c r="B1094" s="1853" t="s">
        <v>0</v>
      </c>
      <c r="C1094" s="1853" t="s">
        <v>3448</v>
      </c>
      <c r="D1094" s="1853" t="s">
        <v>3449</v>
      </c>
      <c r="E1094" s="1853" t="s">
        <v>3432</v>
      </c>
      <c r="F1094" s="1853" t="s">
        <v>3450</v>
      </c>
      <c r="G1094" s="1853" t="s">
        <v>1</v>
      </c>
      <c r="H1094" s="1853" t="s">
        <v>1</v>
      </c>
      <c r="I1094" s="1853" t="s">
        <v>687</v>
      </c>
    </row>
    <row r="1095" spans="1:9" ht="11.25" customHeight="1">
      <c r="A1095" s="1853" t="s">
        <v>2101</v>
      </c>
      <c r="B1095" s="1853" t="s">
        <v>0</v>
      </c>
      <c r="C1095" s="1853" t="s">
        <v>3463</v>
      </c>
      <c r="D1095" s="1853" t="s">
        <v>3464</v>
      </c>
      <c r="E1095" s="1853" t="s">
        <v>3465</v>
      </c>
      <c r="F1095" s="1853" t="s">
        <v>2509</v>
      </c>
      <c r="G1095" s="1853" t="s">
        <v>3466</v>
      </c>
      <c r="H1095" s="1853" t="s">
        <v>1</v>
      </c>
      <c r="I1095" s="1853" t="s">
        <v>687</v>
      </c>
    </row>
    <row r="1096" spans="1:9" ht="11.25" customHeight="1">
      <c r="A1096" s="1853" t="s">
        <v>2101</v>
      </c>
      <c r="B1096" s="1853" t="s">
        <v>0</v>
      </c>
      <c r="C1096" s="1853" t="s">
        <v>3467</v>
      </c>
      <c r="D1096" s="1853" t="s">
        <v>3468</v>
      </c>
      <c r="E1096" s="1853" t="s">
        <v>3465</v>
      </c>
      <c r="F1096" s="1853" t="s">
        <v>3469</v>
      </c>
      <c r="G1096" s="1853" t="s">
        <v>3466</v>
      </c>
      <c r="H1096" s="1853" t="s">
        <v>1</v>
      </c>
      <c r="I1096" s="1853" t="s">
        <v>687</v>
      </c>
    </row>
    <row r="1097" spans="1:9" ht="11.25" customHeight="1">
      <c r="A1097" s="1853" t="s">
        <v>2101</v>
      </c>
      <c r="B1097" s="1853" t="s">
        <v>0</v>
      </c>
      <c r="C1097" s="1853" t="s">
        <v>3470</v>
      </c>
      <c r="D1097" s="1853" t="s">
        <v>3471</v>
      </c>
      <c r="E1097" s="1853" t="s">
        <v>3472</v>
      </c>
      <c r="F1097" s="1853" t="s">
        <v>2810</v>
      </c>
      <c r="G1097" s="1853" t="s">
        <v>1</v>
      </c>
      <c r="H1097" s="1853" t="s">
        <v>1</v>
      </c>
      <c r="I1097" s="1853" t="s">
        <v>687</v>
      </c>
    </row>
    <row r="1098" spans="1:9" ht="11.25" customHeight="1">
      <c r="A1098" s="1853" t="s">
        <v>2101</v>
      </c>
      <c r="B1098" s="1853" t="s">
        <v>0</v>
      </c>
      <c r="C1098" s="1853" t="s">
        <v>4482</v>
      </c>
      <c r="D1098" s="1853" t="s">
        <v>4483</v>
      </c>
      <c r="E1098" s="1853" t="s">
        <v>4484</v>
      </c>
      <c r="F1098" s="1853" t="s">
        <v>12</v>
      </c>
      <c r="G1098" s="1853" t="s">
        <v>4485</v>
      </c>
      <c r="H1098" s="1853" t="s">
        <v>1</v>
      </c>
      <c r="I1098" s="1853" t="s">
        <v>687</v>
      </c>
    </row>
    <row r="1099" spans="1:9" ht="11.25" customHeight="1">
      <c r="A1099" s="1853" t="s">
        <v>2101</v>
      </c>
      <c r="B1099" s="1853" t="s">
        <v>0</v>
      </c>
      <c r="C1099" s="1853" t="s">
        <v>4486</v>
      </c>
      <c r="D1099" s="1853" t="s">
        <v>4487</v>
      </c>
      <c r="E1099" s="1853" t="s">
        <v>4488</v>
      </c>
      <c r="F1099" s="1853" t="s">
        <v>2222</v>
      </c>
      <c r="G1099" s="1853" t="s">
        <v>4489</v>
      </c>
      <c r="H1099" s="1853" t="s">
        <v>4490</v>
      </c>
      <c r="I1099" s="1853" t="s">
        <v>687</v>
      </c>
    </row>
    <row r="1100" spans="1:9" ht="11.25" customHeight="1">
      <c r="A1100" s="1853" t="s">
        <v>2101</v>
      </c>
      <c r="B1100" s="1853" t="s">
        <v>0</v>
      </c>
      <c r="C1100" s="1853" t="s">
        <v>3495</v>
      </c>
      <c r="D1100" s="1853" t="s">
        <v>3496</v>
      </c>
      <c r="E1100" s="1853" t="s">
        <v>3497</v>
      </c>
      <c r="F1100" s="1853" t="s">
        <v>2159</v>
      </c>
      <c r="G1100" s="1853" t="s">
        <v>1</v>
      </c>
      <c r="H1100" s="1853" t="s">
        <v>1</v>
      </c>
      <c r="I1100" s="1853" t="s">
        <v>687</v>
      </c>
    </row>
    <row r="1101" spans="1:9" ht="11.25" customHeight="1">
      <c r="A1101" s="1853" t="s">
        <v>2101</v>
      </c>
      <c r="B1101" s="1853" t="s">
        <v>0</v>
      </c>
      <c r="C1101" s="1853" t="s">
        <v>3498</v>
      </c>
      <c r="D1101" s="1853" t="s">
        <v>3499</v>
      </c>
      <c r="E1101" s="1853" t="s">
        <v>3500</v>
      </c>
      <c r="F1101" s="1853" t="s">
        <v>3501</v>
      </c>
      <c r="G1101" s="1853" t="s">
        <v>1</v>
      </c>
      <c r="H1101" s="1853" t="s">
        <v>1</v>
      </c>
      <c r="I1101" s="1853" t="s">
        <v>687</v>
      </c>
    </row>
    <row r="1102" spans="1:9" ht="11.25" customHeight="1">
      <c r="A1102" s="1853" t="s">
        <v>2101</v>
      </c>
      <c r="B1102" s="1853" t="s">
        <v>0</v>
      </c>
      <c r="C1102" s="1853" t="s">
        <v>3505</v>
      </c>
      <c r="D1102" s="1853" t="s">
        <v>3506</v>
      </c>
      <c r="E1102" s="1853" t="s">
        <v>3507</v>
      </c>
      <c r="F1102" s="1853" t="s">
        <v>2105</v>
      </c>
      <c r="G1102" s="1853" t="s">
        <v>2573</v>
      </c>
      <c r="H1102" s="1853" t="s">
        <v>1</v>
      </c>
      <c r="I1102" s="1853" t="s">
        <v>687</v>
      </c>
    </row>
    <row r="1103" spans="1:9" ht="11.25" customHeight="1">
      <c r="A1103" s="1853" t="s">
        <v>2101</v>
      </c>
      <c r="B1103" s="1853" t="s">
        <v>0</v>
      </c>
      <c r="C1103" s="1853" t="s">
        <v>3514</v>
      </c>
      <c r="D1103" s="1853" t="s">
        <v>3515</v>
      </c>
      <c r="E1103" s="1853" t="s">
        <v>3516</v>
      </c>
      <c r="F1103" s="1853" t="s">
        <v>2105</v>
      </c>
      <c r="G1103" s="1853" t="s">
        <v>3517</v>
      </c>
      <c r="H1103" s="1853" t="s">
        <v>1</v>
      </c>
      <c r="I1103" s="1853" t="s">
        <v>687</v>
      </c>
    </row>
    <row r="1104" spans="1:9" ht="11.25" customHeight="1">
      <c r="A1104" s="1853" t="s">
        <v>2101</v>
      </c>
      <c r="B1104" s="1853" t="s">
        <v>0</v>
      </c>
      <c r="C1104" s="1853" t="s">
        <v>3518</v>
      </c>
      <c r="D1104" s="1853" t="s">
        <v>3519</v>
      </c>
      <c r="E1104" s="1853" t="s">
        <v>3520</v>
      </c>
      <c r="F1104" s="1853" t="s">
        <v>3425</v>
      </c>
      <c r="G1104" s="1853" t="s">
        <v>1</v>
      </c>
      <c r="H1104" s="1853" t="s">
        <v>1</v>
      </c>
      <c r="I1104" s="1853" t="s">
        <v>687</v>
      </c>
    </row>
    <row r="1105" spans="1:9" ht="11.25" customHeight="1">
      <c r="A1105" s="1853" t="s">
        <v>2101</v>
      </c>
      <c r="B1105" s="1853" t="s">
        <v>0</v>
      </c>
      <c r="C1105" s="1853" t="s">
        <v>3525</v>
      </c>
      <c r="D1105" s="1853" t="s">
        <v>3526</v>
      </c>
      <c r="E1105" s="1853" t="s">
        <v>3527</v>
      </c>
      <c r="F1105" s="1853" t="s">
        <v>2105</v>
      </c>
      <c r="G1105" s="1853" t="s">
        <v>1</v>
      </c>
      <c r="H1105" s="1853" t="s">
        <v>1</v>
      </c>
      <c r="I1105" s="1853" t="s">
        <v>687</v>
      </c>
    </row>
    <row r="1106" spans="1:9" ht="11.25" customHeight="1">
      <c r="A1106" s="1853" t="s">
        <v>2101</v>
      </c>
      <c r="B1106" s="1853" t="s">
        <v>0</v>
      </c>
      <c r="C1106" s="1853" t="s">
        <v>3528</v>
      </c>
      <c r="D1106" s="1853" t="s">
        <v>3529</v>
      </c>
      <c r="E1106" s="1853" t="s">
        <v>3530</v>
      </c>
      <c r="F1106" s="1853" t="s">
        <v>2230</v>
      </c>
      <c r="G1106" s="1853" t="s">
        <v>3531</v>
      </c>
      <c r="H1106" s="1853" t="s">
        <v>1</v>
      </c>
      <c r="I1106" s="1853" t="s">
        <v>687</v>
      </c>
    </row>
    <row r="1107" spans="1:9" ht="11.25" customHeight="1">
      <c r="A1107" s="1853" t="s">
        <v>2101</v>
      </c>
      <c r="B1107" s="1853" t="s">
        <v>0</v>
      </c>
      <c r="C1107" s="1853" t="s">
        <v>4491</v>
      </c>
      <c r="D1107" s="1853" t="s">
        <v>4492</v>
      </c>
      <c r="E1107" s="1853" t="s">
        <v>4493</v>
      </c>
      <c r="F1107" s="1853" t="s">
        <v>2230</v>
      </c>
      <c r="G1107" s="1853" t="s">
        <v>1</v>
      </c>
      <c r="H1107" s="1853" t="s">
        <v>1</v>
      </c>
      <c r="I1107" s="1853" t="s">
        <v>687</v>
      </c>
    </row>
    <row r="1108" spans="1:9" ht="11.25" customHeight="1">
      <c r="A1108" s="1853" t="s">
        <v>2101</v>
      </c>
      <c r="B1108" s="1853" t="s">
        <v>0</v>
      </c>
      <c r="C1108" s="1853" t="s">
        <v>3536</v>
      </c>
      <c r="D1108" s="1853" t="s">
        <v>3537</v>
      </c>
      <c r="E1108" s="1853" t="s">
        <v>3538</v>
      </c>
      <c r="F1108" s="1853" t="s">
        <v>2222</v>
      </c>
      <c r="G1108" s="1853" t="s">
        <v>1</v>
      </c>
      <c r="H1108" s="1853" t="s">
        <v>1</v>
      </c>
      <c r="I1108" s="1853" t="s">
        <v>687</v>
      </c>
    </row>
    <row r="1109" spans="1:9" ht="11.25" customHeight="1">
      <c r="A1109" s="1853" t="s">
        <v>2101</v>
      </c>
      <c r="B1109" s="1853" t="s">
        <v>0</v>
      </c>
      <c r="C1109" s="1853" t="s">
        <v>3542</v>
      </c>
      <c r="D1109" s="1853" t="s">
        <v>3543</v>
      </c>
      <c r="E1109" s="1853" t="s">
        <v>3544</v>
      </c>
      <c r="F1109" s="1853" t="s">
        <v>2182</v>
      </c>
      <c r="G1109" s="1853" t="s">
        <v>1</v>
      </c>
      <c r="H1109" s="1853" t="s">
        <v>3545</v>
      </c>
      <c r="I1109" s="1853" t="s">
        <v>687</v>
      </c>
    </row>
    <row r="1110" spans="1:9" ht="11.25" customHeight="1">
      <c r="A1110" s="1853" t="s">
        <v>2101</v>
      </c>
      <c r="B1110" s="1853" t="s">
        <v>0</v>
      </c>
      <c r="C1110" s="1853" t="s">
        <v>3546</v>
      </c>
      <c r="D1110" s="1853" t="s">
        <v>3547</v>
      </c>
      <c r="E1110" s="1853" t="s">
        <v>3548</v>
      </c>
      <c r="F1110" s="1853" t="s">
        <v>12</v>
      </c>
      <c r="G1110" s="1853" t="s">
        <v>1</v>
      </c>
      <c r="H1110" s="1853" t="s">
        <v>1</v>
      </c>
      <c r="I1110" s="1853" t="s">
        <v>687</v>
      </c>
    </row>
    <row r="1111" spans="1:9" ht="11.25" customHeight="1">
      <c r="A1111" s="1853" t="s">
        <v>2101</v>
      </c>
      <c r="B1111" s="1853" t="s">
        <v>0</v>
      </c>
      <c r="C1111" s="1853" t="s">
        <v>3559</v>
      </c>
      <c r="D1111" s="1853" t="s">
        <v>3560</v>
      </c>
      <c r="E1111" s="1853" t="s">
        <v>3561</v>
      </c>
      <c r="F1111" s="1853" t="s">
        <v>2329</v>
      </c>
      <c r="G1111" s="1853" t="s">
        <v>1</v>
      </c>
      <c r="H1111" s="1853" t="s">
        <v>1</v>
      </c>
      <c r="I1111" s="1853" t="s">
        <v>687</v>
      </c>
    </row>
    <row r="1112" spans="1:9" ht="11.25" customHeight="1">
      <c r="A1112" s="1853" t="s">
        <v>2101</v>
      </c>
      <c r="B1112" s="1853" t="s">
        <v>0</v>
      </c>
      <c r="C1112" s="1853" t="s">
        <v>3571</v>
      </c>
      <c r="D1112" s="1853" t="s">
        <v>3572</v>
      </c>
      <c r="E1112" s="1853" t="s">
        <v>3573</v>
      </c>
      <c r="F1112" s="1853" t="s">
        <v>2222</v>
      </c>
      <c r="G1112" s="1853" t="s">
        <v>3574</v>
      </c>
      <c r="H1112" s="1853" t="s">
        <v>1</v>
      </c>
      <c r="I1112" s="1853" t="s">
        <v>687</v>
      </c>
    </row>
    <row r="1113" spans="1:9" ht="11.25" customHeight="1">
      <c r="A1113" s="1853" t="s">
        <v>2101</v>
      </c>
      <c r="B1113" s="1853" t="s">
        <v>0</v>
      </c>
      <c r="C1113" s="1853" t="s">
        <v>4494</v>
      </c>
      <c r="D1113" s="1853" t="s">
        <v>4495</v>
      </c>
      <c r="E1113" s="1853" t="s">
        <v>4496</v>
      </c>
      <c r="F1113" s="1853" t="s">
        <v>3087</v>
      </c>
      <c r="G1113" s="1853" t="s">
        <v>2909</v>
      </c>
      <c r="H1113" s="1853" t="s">
        <v>1</v>
      </c>
      <c r="I1113" s="1853" t="s">
        <v>687</v>
      </c>
    </row>
    <row r="1114" spans="1:9" ht="11.25" customHeight="1">
      <c r="A1114" s="1853" t="s">
        <v>2101</v>
      </c>
      <c r="B1114" s="1853" t="s">
        <v>0</v>
      </c>
      <c r="C1114" s="1853" t="s">
        <v>3590</v>
      </c>
      <c r="D1114" s="1853" t="s">
        <v>3591</v>
      </c>
      <c r="E1114" s="1853" t="s">
        <v>3592</v>
      </c>
      <c r="F1114" s="1853" t="s">
        <v>3593</v>
      </c>
      <c r="G1114" s="1853" t="s">
        <v>1</v>
      </c>
      <c r="H1114" s="1853" t="s">
        <v>1</v>
      </c>
      <c r="I1114" s="1853" t="s">
        <v>687</v>
      </c>
    </row>
    <row r="1115" spans="1:9" ht="11.25" customHeight="1">
      <c r="A1115" s="1853" t="s">
        <v>2101</v>
      </c>
      <c r="B1115" s="1853" t="s">
        <v>0</v>
      </c>
      <c r="C1115" s="1853" t="s">
        <v>3601</v>
      </c>
      <c r="D1115" s="1853" t="s">
        <v>3602</v>
      </c>
      <c r="E1115" s="1853" t="s">
        <v>3603</v>
      </c>
      <c r="F1115" s="1853" t="s">
        <v>2424</v>
      </c>
      <c r="G1115" s="1853" t="s">
        <v>1</v>
      </c>
      <c r="H1115" s="1853" t="s">
        <v>1</v>
      </c>
      <c r="I1115" s="1853" t="s">
        <v>687</v>
      </c>
    </row>
    <row r="1116" spans="1:9" ht="11.25" customHeight="1">
      <c r="A1116" s="1853" t="s">
        <v>2101</v>
      </c>
      <c r="B1116" s="1853" t="s">
        <v>0</v>
      </c>
      <c r="C1116" s="1853" t="s">
        <v>4497</v>
      </c>
      <c r="D1116" s="1853" t="s">
        <v>4498</v>
      </c>
      <c r="E1116" s="1853" t="s">
        <v>4499</v>
      </c>
      <c r="F1116" s="1853" t="s">
        <v>2424</v>
      </c>
      <c r="G1116" s="1853" t="s">
        <v>4500</v>
      </c>
      <c r="H1116" s="1853" t="s">
        <v>1</v>
      </c>
      <c r="I1116" s="1853" t="s">
        <v>687</v>
      </c>
    </row>
    <row r="1117" spans="1:9" ht="11.25" customHeight="1">
      <c r="A1117" s="1853" t="s">
        <v>2101</v>
      </c>
      <c r="B1117" s="1853" t="s">
        <v>0</v>
      </c>
      <c r="C1117" s="1853" t="s">
        <v>3620</v>
      </c>
      <c r="D1117" s="1853" t="s">
        <v>3621</v>
      </c>
      <c r="E1117" s="1853" t="s">
        <v>3622</v>
      </c>
      <c r="F1117" s="1853" t="s">
        <v>2230</v>
      </c>
      <c r="G1117" s="1853" t="s">
        <v>1</v>
      </c>
      <c r="H1117" s="1853" t="s">
        <v>1</v>
      </c>
      <c r="I1117" s="1853" t="s">
        <v>687</v>
      </c>
    </row>
    <row r="1118" spans="1:9" ht="11.25" customHeight="1">
      <c r="A1118" s="1853" t="s">
        <v>2101</v>
      </c>
      <c r="B1118" s="1853" t="s">
        <v>0</v>
      </c>
      <c r="C1118" s="1853" t="s">
        <v>3626</v>
      </c>
      <c r="D1118" s="1853" t="s">
        <v>3627</v>
      </c>
      <c r="E1118" s="1853" t="s">
        <v>3628</v>
      </c>
      <c r="F1118" s="1853" t="s">
        <v>3501</v>
      </c>
      <c r="G1118" s="1853" t="s">
        <v>3629</v>
      </c>
      <c r="H1118" s="1853" t="s">
        <v>3630</v>
      </c>
      <c r="I1118" s="1853" t="s">
        <v>687</v>
      </c>
    </row>
    <row r="1119" spans="1:9" ht="11.25" customHeight="1">
      <c r="A1119" s="1853" t="s">
        <v>2101</v>
      </c>
      <c r="B1119" s="1853" t="s">
        <v>0</v>
      </c>
      <c r="C1119" s="1853" t="s">
        <v>4501</v>
      </c>
      <c r="D1119" s="1853" t="s">
        <v>4502</v>
      </c>
      <c r="E1119" s="1853" t="s">
        <v>4503</v>
      </c>
      <c r="F1119" s="1853" t="s">
        <v>3501</v>
      </c>
      <c r="G1119" s="1853" t="s">
        <v>1</v>
      </c>
      <c r="H1119" s="1853" t="s">
        <v>1</v>
      </c>
      <c r="I1119" s="1853" t="s">
        <v>687</v>
      </c>
    </row>
    <row r="1120" spans="1:9" ht="11.25" customHeight="1">
      <c r="A1120" s="1853" t="s">
        <v>2101</v>
      </c>
      <c r="B1120" s="1853" t="s">
        <v>0</v>
      </c>
      <c r="C1120" s="1853" t="s">
        <v>3651</v>
      </c>
      <c r="D1120" s="1853" t="s">
        <v>3652</v>
      </c>
      <c r="E1120" s="1853" t="s">
        <v>3653</v>
      </c>
      <c r="F1120" s="1853" t="s">
        <v>2178</v>
      </c>
      <c r="G1120" s="1853" t="s">
        <v>1</v>
      </c>
      <c r="H1120" s="1853" t="s">
        <v>1</v>
      </c>
      <c r="I1120" s="1853" t="s">
        <v>687</v>
      </c>
    </row>
    <row r="1121" spans="1:9" ht="11.25" customHeight="1">
      <c r="A1121" s="1853" t="s">
        <v>2101</v>
      </c>
      <c r="B1121" s="1853" t="s">
        <v>0</v>
      </c>
      <c r="C1121" s="1853" t="s">
        <v>3654</v>
      </c>
      <c r="D1121" s="1853" t="s">
        <v>3655</v>
      </c>
      <c r="E1121" s="1853" t="s">
        <v>3656</v>
      </c>
      <c r="F1121" s="1853" t="s">
        <v>2613</v>
      </c>
      <c r="G1121" s="1853" t="s">
        <v>3657</v>
      </c>
      <c r="H1121" s="1853" t="s">
        <v>1</v>
      </c>
      <c r="I1121" s="1853" t="s">
        <v>687</v>
      </c>
    </row>
    <row r="1122" spans="1:9" ht="11.25" customHeight="1">
      <c r="A1122" s="1853" t="s">
        <v>2101</v>
      </c>
      <c r="B1122" s="1853" t="s">
        <v>0</v>
      </c>
      <c r="C1122" s="1853" t="s">
        <v>3672</v>
      </c>
      <c r="D1122" s="1853" t="s">
        <v>3673</v>
      </c>
      <c r="E1122" s="1853" t="s">
        <v>3674</v>
      </c>
      <c r="F1122" s="1853" t="s">
        <v>12</v>
      </c>
      <c r="G1122" s="1853" t="s">
        <v>3675</v>
      </c>
      <c r="H1122" s="1853" t="s">
        <v>1</v>
      </c>
      <c r="I1122" s="1853" t="s">
        <v>687</v>
      </c>
    </row>
    <row r="1123" spans="1:9" ht="11.25" customHeight="1">
      <c r="A1123" s="1853" t="s">
        <v>2101</v>
      </c>
      <c r="B1123" s="1853" t="s">
        <v>0</v>
      </c>
      <c r="C1123" s="1853" t="s">
        <v>3683</v>
      </c>
      <c r="D1123" s="1853" t="s">
        <v>3684</v>
      </c>
      <c r="E1123" s="1853" t="s">
        <v>3685</v>
      </c>
      <c r="F1123" s="1853" t="s">
        <v>12</v>
      </c>
      <c r="G1123" s="1853" t="s">
        <v>3686</v>
      </c>
      <c r="H1123" s="1853" t="s">
        <v>1</v>
      </c>
      <c r="I1123" s="1853" t="s">
        <v>687</v>
      </c>
    </row>
    <row r="1124" spans="1:9" ht="11.25" customHeight="1">
      <c r="A1124" s="1853" t="s">
        <v>2101</v>
      </c>
      <c r="B1124" s="1853" t="s">
        <v>0</v>
      </c>
      <c r="C1124" s="1853" t="s">
        <v>3706</v>
      </c>
      <c r="D1124" s="1853" t="s">
        <v>3707</v>
      </c>
      <c r="E1124" s="1853" t="s">
        <v>3708</v>
      </c>
      <c r="F1124" s="1853" t="s">
        <v>2424</v>
      </c>
      <c r="G1124" s="1853" t="s">
        <v>3709</v>
      </c>
      <c r="H1124" s="1853" t="s">
        <v>1</v>
      </c>
      <c r="I1124" s="1853" t="s">
        <v>687</v>
      </c>
    </row>
    <row r="1125" spans="1:9" ht="11.25" customHeight="1">
      <c r="A1125" s="1853" t="s">
        <v>2101</v>
      </c>
      <c r="B1125" s="1853" t="s">
        <v>0</v>
      </c>
      <c r="C1125" s="1853" t="s">
        <v>4504</v>
      </c>
      <c r="D1125" s="1853" t="s">
        <v>4505</v>
      </c>
      <c r="E1125" s="1853" t="s">
        <v>4506</v>
      </c>
      <c r="F1125" s="1853" t="s">
        <v>2178</v>
      </c>
      <c r="G1125" s="1853" t="s">
        <v>4507</v>
      </c>
      <c r="H1125" s="1853" t="s">
        <v>1</v>
      </c>
      <c r="I1125" s="1853" t="s">
        <v>687</v>
      </c>
    </row>
    <row r="1126" spans="1:9" ht="11.25" customHeight="1">
      <c r="A1126" s="1853" t="s">
        <v>2101</v>
      </c>
      <c r="B1126" s="1853" t="s">
        <v>0</v>
      </c>
      <c r="C1126" s="1853" t="s">
        <v>3744</v>
      </c>
      <c r="D1126" s="1853" t="s">
        <v>3745</v>
      </c>
      <c r="E1126" s="1853" t="s">
        <v>3746</v>
      </c>
      <c r="F1126" s="1853" t="s">
        <v>12</v>
      </c>
      <c r="G1126" s="1853" t="s">
        <v>2494</v>
      </c>
      <c r="H1126" s="1853" t="s">
        <v>1</v>
      </c>
      <c r="I1126" s="1853" t="s">
        <v>687</v>
      </c>
    </row>
    <row r="1127" spans="1:9" ht="11.25" customHeight="1">
      <c r="A1127" s="1853" t="s">
        <v>2101</v>
      </c>
      <c r="B1127" s="1853" t="s">
        <v>0</v>
      </c>
      <c r="C1127" s="1853" t="s">
        <v>3750</v>
      </c>
      <c r="D1127" s="1853" t="s">
        <v>3751</v>
      </c>
      <c r="E1127" s="1853" t="s">
        <v>3752</v>
      </c>
      <c r="F1127" s="1853" t="s">
        <v>2329</v>
      </c>
      <c r="G1127" s="1853" t="s">
        <v>3753</v>
      </c>
      <c r="H1127" s="1853" t="s">
        <v>1</v>
      </c>
      <c r="I1127" s="1853" t="s">
        <v>687</v>
      </c>
    </row>
    <row r="1128" spans="1:9" ht="11.25" customHeight="1">
      <c r="A1128" s="1853" t="s">
        <v>2101</v>
      </c>
      <c r="B1128" s="1853" t="s">
        <v>0</v>
      </c>
      <c r="C1128" s="1853" t="s">
        <v>3757</v>
      </c>
      <c r="D1128" s="1853" t="s">
        <v>3758</v>
      </c>
      <c r="E1128" s="1853" t="s">
        <v>3759</v>
      </c>
      <c r="F1128" s="1853" t="s">
        <v>12</v>
      </c>
      <c r="G1128" s="1853" t="s">
        <v>1</v>
      </c>
      <c r="H1128" s="1853" t="s">
        <v>1</v>
      </c>
      <c r="I1128" s="1853" t="s">
        <v>687</v>
      </c>
    </row>
    <row r="1129" spans="1:9" ht="11.25" customHeight="1">
      <c r="A1129" s="1853" t="s">
        <v>2101</v>
      </c>
      <c r="B1129" s="1853" t="s">
        <v>0</v>
      </c>
      <c r="C1129" s="1853" t="s">
        <v>4508</v>
      </c>
      <c r="D1129" s="1853" t="s">
        <v>4509</v>
      </c>
      <c r="E1129" s="1853" t="s">
        <v>4510</v>
      </c>
      <c r="F1129" s="1853" t="s">
        <v>2222</v>
      </c>
      <c r="G1129" s="1853" t="s">
        <v>4511</v>
      </c>
      <c r="H1129" s="1853" t="s">
        <v>1</v>
      </c>
      <c r="I1129" s="1853" t="s">
        <v>687</v>
      </c>
    </row>
    <row r="1130" spans="1:9" ht="11.25" customHeight="1">
      <c r="A1130" s="1853" t="s">
        <v>2101</v>
      </c>
      <c r="B1130" s="1853" t="s">
        <v>0</v>
      </c>
      <c r="C1130" s="1853" t="s">
        <v>3760</v>
      </c>
      <c r="D1130" s="1853" t="s">
        <v>3761</v>
      </c>
      <c r="E1130" s="1853" t="s">
        <v>3762</v>
      </c>
      <c r="F1130" s="1853" t="s">
        <v>2105</v>
      </c>
      <c r="G1130" s="1853" t="s">
        <v>1</v>
      </c>
      <c r="H1130" s="1853" t="s">
        <v>1</v>
      </c>
      <c r="I1130" s="1853" t="s">
        <v>687</v>
      </c>
    </row>
    <row r="1131" spans="1:9" ht="11.25" customHeight="1">
      <c r="A1131" s="1853" t="s">
        <v>2101</v>
      </c>
      <c r="B1131" s="1853" t="s">
        <v>0</v>
      </c>
      <c r="C1131" s="1853" t="s">
        <v>3763</v>
      </c>
      <c r="D1131" s="1853" t="s">
        <v>3764</v>
      </c>
      <c r="E1131" s="1853" t="s">
        <v>3765</v>
      </c>
      <c r="F1131" s="1853" t="s">
        <v>12</v>
      </c>
      <c r="G1131" s="1853" t="s">
        <v>3766</v>
      </c>
      <c r="H1131" s="1853" t="s">
        <v>1</v>
      </c>
      <c r="I1131" s="1853" t="s">
        <v>687</v>
      </c>
    </row>
    <row r="1132" spans="1:9" ht="11.25" customHeight="1">
      <c r="A1132" s="1853" t="s">
        <v>2101</v>
      </c>
      <c r="B1132" s="1853" t="s">
        <v>0</v>
      </c>
      <c r="C1132" s="1853" t="s">
        <v>3767</v>
      </c>
      <c r="D1132" s="1853" t="s">
        <v>3768</v>
      </c>
      <c r="E1132" s="1853" t="s">
        <v>3769</v>
      </c>
      <c r="F1132" s="1853" t="s">
        <v>2182</v>
      </c>
      <c r="G1132" s="1853" t="s">
        <v>3770</v>
      </c>
      <c r="H1132" s="1853" t="s">
        <v>1</v>
      </c>
      <c r="I1132" s="1853" t="s">
        <v>687</v>
      </c>
    </row>
    <row r="1133" spans="1:9" ht="11.25" customHeight="1">
      <c r="A1133" s="1853" t="s">
        <v>2101</v>
      </c>
      <c r="B1133" s="1853" t="s">
        <v>0</v>
      </c>
      <c r="C1133" s="1853" t="s">
        <v>3775</v>
      </c>
      <c r="D1133" s="1853" t="s">
        <v>3776</v>
      </c>
      <c r="E1133" s="1853" t="s">
        <v>3777</v>
      </c>
      <c r="F1133" s="1853" t="s">
        <v>2222</v>
      </c>
      <c r="G1133" s="1853" t="s">
        <v>3778</v>
      </c>
      <c r="H1133" s="1853" t="s">
        <v>1</v>
      </c>
      <c r="I1133" s="1853" t="s">
        <v>687</v>
      </c>
    </row>
    <row r="1134" spans="1:9" ht="11.25" customHeight="1">
      <c r="A1134" s="1853" t="s">
        <v>2101</v>
      </c>
      <c r="B1134" s="1853" t="s">
        <v>0</v>
      </c>
      <c r="C1134" s="1853" t="s">
        <v>3782</v>
      </c>
      <c r="D1134" s="1853" t="s">
        <v>3783</v>
      </c>
      <c r="E1134" s="1853" t="s">
        <v>3784</v>
      </c>
      <c r="F1134" s="1853" t="s">
        <v>2416</v>
      </c>
      <c r="G1134" s="1853" t="s">
        <v>3785</v>
      </c>
      <c r="H1134" s="1853" t="s">
        <v>1</v>
      </c>
      <c r="I1134" s="1853" t="s">
        <v>687</v>
      </c>
    </row>
    <row r="1135" spans="1:9" ht="11.25" customHeight="1">
      <c r="A1135" s="1853" t="s">
        <v>2101</v>
      </c>
      <c r="B1135" s="1853" t="s">
        <v>0</v>
      </c>
      <c r="C1135" s="1853" t="s">
        <v>3815</v>
      </c>
      <c r="D1135" s="1853" t="s">
        <v>3816</v>
      </c>
      <c r="E1135" s="1853" t="s">
        <v>3817</v>
      </c>
      <c r="F1135" s="1853" t="s">
        <v>2105</v>
      </c>
      <c r="G1135" s="1853" t="s">
        <v>3818</v>
      </c>
      <c r="H1135" s="1853" t="s">
        <v>1</v>
      </c>
      <c r="I1135" s="1853" t="s">
        <v>687</v>
      </c>
    </row>
    <row r="1136" spans="1:9" ht="11.25" customHeight="1">
      <c r="A1136" s="1853" t="s">
        <v>2101</v>
      </c>
      <c r="B1136" s="1853" t="s">
        <v>0</v>
      </c>
      <c r="C1136" s="1853" t="s">
        <v>3819</v>
      </c>
      <c r="D1136" s="1853" t="s">
        <v>3820</v>
      </c>
      <c r="E1136" s="1853" t="s">
        <v>3821</v>
      </c>
      <c r="F1136" s="1853" t="s">
        <v>2222</v>
      </c>
      <c r="G1136" s="1853" t="s">
        <v>3822</v>
      </c>
      <c r="H1136" s="1853" t="s">
        <v>1</v>
      </c>
      <c r="I1136" s="1853" t="s">
        <v>687</v>
      </c>
    </row>
    <row r="1137" spans="1:9" ht="11.25" customHeight="1">
      <c r="A1137" s="1853" t="s">
        <v>2101</v>
      </c>
      <c r="B1137" s="1853" t="s">
        <v>0</v>
      </c>
      <c r="C1137" s="1853" t="s">
        <v>3823</v>
      </c>
      <c r="D1137" s="1853" t="s">
        <v>3824</v>
      </c>
      <c r="E1137" s="1853" t="s">
        <v>3825</v>
      </c>
      <c r="F1137" s="1853" t="s">
        <v>2230</v>
      </c>
      <c r="G1137" s="1853" t="s">
        <v>3826</v>
      </c>
      <c r="H1137" s="1853" t="s">
        <v>1</v>
      </c>
      <c r="I1137" s="1853" t="s">
        <v>687</v>
      </c>
    </row>
    <row r="1138" spans="1:9" ht="11.25" customHeight="1">
      <c r="A1138" s="1853" t="s">
        <v>2101</v>
      </c>
      <c r="B1138" s="1853" t="s">
        <v>0</v>
      </c>
      <c r="C1138" s="1853" t="s">
        <v>3830</v>
      </c>
      <c r="D1138" s="1853" t="s">
        <v>3831</v>
      </c>
      <c r="E1138" s="1853" t="s">
        <v>3832</v>
      </c>
      <c r="F1138" s="1853" t="s">
        <v>12</v>
      </c>
      <c r="G1138" s="1853" t="s">
        <v>1</v>
      </c>
      <c r="H1138" s="1853" t="s">
        <v>1</v>
      </c>
      <c r="I1138" s="1853" t="s">
        <v>687</v>
      </c>
    </row>
    <row r="1139" spans="1:9" ht="11.25" customHeight="1">
      <c r="A1139" s="1853" t="s">
        <v>2101</v>
      </c>
      <c r="B1139" s="1853" t="s">
        <v>0</v>
      </c>
      <c r="C1139" s="1853" t="s">
        <v>4512</v>
      </c>
      <c r="D1139" s="1853" t="s">
        <v>4513</v>
      </c>
      <c r="E1139" s="1853" t="s">
        <v>4514</v>
      </c>
      <c r="F1139" s="1853" t="s">
        <v>3589</v>
      </c>
      <c r="G1139" s="1853" t="s">
        <v>4515</v>
      </c>
      <c r="H1139" s="1853" t="s">
        <v>1</v>
      </c>
      <c r="I1139" s="1853" t="s">
        <v>687</v>
      </c>
    </row>
    <row r="1140" spans="1:9" ht="11.25" customHeight="1">
      <c r="A1140" s="1853" t="s">
        <v>2101</v>
      </c>
      <c r="B1140" s="1853" t="s">
        <v>0</v>
      </c>
      <c r="C1140" s="1853" t="s">
        <v>4516</v>
      </c>
      <c r="D1140" s="1853" t="s">
        <v>4517</v>
      </c>
      <c r="E1140" s="1853" t="s">
        <v>4518</v>
      </c>
      <c r="F1140" s="1853" t="s">
        <v>2196</v>
      </c>
      <c r="G1140" s="1853" t="s">
        <v>1</v>
      </c>
      <c r="H1140" s="1853" t="s">
        <v>1</v>
      </c>
      <c r="I1140" s="1853" t="s">
        <v>687</v>
      </c>
    </row>
    <row r="1141" spans="1:9" ht="11.25" customHeight="1">
      <c r="A1141" s="1853" t="s">
        <v>2101</v>
      </c>
      <c r="B1141" s="1853" t="s">
        <v>0</v>
      </c>
      <c r="C1141" s="1853" t="s">
        <v>3845</v>
      </c>
      <c r="D1141" s="1853" t="s">
        <v>3846</v>
      </c>
      <c r="E1141" s="1853" t="s">
        <v>3847</v>
      </c>
      <c r="F1141" s="1853" t="s">
        <v>2182</v>
      </c>
      <c r="G1141" s="1853" t="s">
        <v>1</v>
      </c>
      <c r="H1141" s="1853" t="s">
        <v>1</v>
      </c>
      <c r="I1141" s="1853" t="s">
        <v>687</v>
      </c>
    </row>
    <row r="1142" spans="1:9" ht="11.25" customHeight="1">
      <c r="A1142" s="1853" t="s">
        <v>2101</v>
      </c>
      <c r="B1142" s="1853" t="s">
        <v>0</v>
      </c>
      <c r="C1142" s="1853" t="s">
        <v>3854</v>
      </c>
      <c r="D1142" s="1853" t="s">
        <v>3855</v>
      </c>
      <c r="E1142" s="1853" t="s">
        <v>3856</v>
      </c>
      <c r="F1142" s="1853" t="s">
        <v>2416</v>
      </c>
      <c r="G1142" s="1853" t="s">
        <v>1</v>
      </c>
      <c r="H1142" s="1853" t="s">
        <v>1</v>
      </c>
      <c r="I1142" s="1853" t="s">
        <v>687</v>
      </c>
    </row>
    <row r="1143" spans="1:9" ht="11.25" customHeight="1">
      <c r="A1143" s="1853" t="s">
        <v>2101</v>
      </c>
      <c r="B1143" s="1853" t="s">
        <v>0</v>
      </c>
      <c r="C1143" s="1853" t="s">
        <v>3865</v>
      </c>
      <c r="D1143" s="1853" t="s">
        <v>3866</v>
      </c>
      <c r="E1143" s="1853" t="s">
        <v>3867</v>
      </c>
      <c r="F1143" s="1853" t="s">
        <v>2178</v>
      </c>
      <c r="G1143" s="1853" t="s">
        <v>1</v>
      </c>
      <c r="H1143" s="1853" t="s">
        <v>1</v>
      </c>
      <c r="I1143" s="1853" t="s">
        <v>687</v>
      </c>
    </row>
    <row r="1144" spans="1:9" ht="11.25" customHeight="1">
      <c r="A1144" s="1853" t="s">
        <v>2101</v>
      </c>
      <c r="B1144" s="1853" t="s">
        <v>0</v>
      </c>
      <c r="C1144" s="1853" t="s">
        <v>3875</v>
      </c>
      <c r="D1144" s="1853" t="s">
        <v>3876</v>
      </c>
      <c r="E1144" s="1853" t="s">
        <v>3877</v>
      </c>
      <c r="F1144" s="1853" t="s">
        <v>3878</v>
      </c>
      <c r="G1144" s="1853" t="s">
        <v>3879</v>
      </c>
      <c r="H1144" s="1853" t="s">
        <v>1</v>
      </c>
      <c r="I1144" s="1853" t="s">
        <v>687</v>
      </c>
    </row>
    <row r="1145" spans="1:9" ht="11.25" customHeight="1">
      <c r="A1145" s="1853" t="s">
        <v>2101</v>
      </c>
      <c r="B1145" s="1853" t="s">
        <v>0</v>
      </c>
      <c r="C1145" s="1853" t="s">
        <v>3891</v>
      </c>
      <c r="D1145" s="1853" t="s">
        <v>3892</v>
      </c>
      <c r="E1145" s="1853" t="s">
        <v>3893</v>
      </c>
      <c r="F1145" s="1853" t="s">
        <v>2149</v>
      </c>
      <c r="G1145" s="1853" t="s">
        <v>1</v>
      </c>
      <c r="H1145" s="1853" t="s">
        <v>1</v>
      </c>
      <c r="I1145" s="1853" t="s">
        <v>687</v>
      </c>
    </row>
    <row r="1146" spans="1:9" ht="11.25" customHeight="1">
      <c r="A1146" s="1853" t="s">
        <v>2101</v>
      </c>
      <c r="B1146" s="1853" t="s">
        <v>0</v>
      </c>
      <c r="C1146" s="1853" t="s">
        <v>3894</v>
      </c>
      <c r="D1146" s="1853" t="s">
        <v>3895</v>
      </c>
      <c r="E1146" s="1853" t="s">
        <v>3896</v>
      </c>
      <c r="F1146" s="1853" t="s">
        <v>2149</v>
      </c>
      <c r="G1146" s="1853" t="s">
        <v>1</v>
      </c>
      <c r="H1146" s="1853" t="s">
        <v>1</v>
      </c>
      <c r="I1146" s="1853" t="s">
        <v>687</v>
      </c>
    </row>
    <row r="1147" spans="1:9" ht="11.25" customHeight="1">
      <c r="A1147" s="1853" t="s">
        <v>2101</v>
      </c>
      <c r="B1147" s="1853" t="s">
        <v>0</v>
      </c>
      <c r="C1147" s="1853" t="s">
        <v>4519</v>
      </c>
      <c r="D1147" s="1853" t="s">
        <v>4520</v>
      </c>
      <c r="E1147" s="1853" t="s">
        <v>4521</v>
      </c>
      <c r="F1147" s="1853" t="s">
        <v>2191</v>
      </c>
      <c r="G1147" s="1853" t="s">
        <v>4522</v>
      </c>
      <c r="H1147" s="1853" t="s">
        <v>1</v>
      </c>
      <c r="I1147" s="1853" t="s">
        <v>687</v>
      </c>
    </row>
    <row r="1148" spans="1:9" ht="11.25" customHeight="1">
      <c r="A1148" s="1853" t="s">
        <v>2101</v>
      </c>
      <c r="B1148" s="1853" t="s">
        <v>0</v>
      </c>
      <c r="C1148" s="1853" t="s">
        <v>3897</v>
      </c>
      <c r="D1148" s="1853" t="s">
        <v>3898</v>
      </c>
      <c r="E1148" s="1853" t="s">
        <v>3899</v>
      </c>
      <c r="F1148" s="1853" t="s">
        <v>2105</v>
      </c>
      <c r="G1148" s="1853" t="s">
        <v>1</v>
      </c>
      <c r="H1148" s="1853" t="s">
        <v>3900</v>
      </c>
      <c r="I1148" s="1853" t="s">
        <v>687</v>
      </c>
    </row>
    <row r="1149" spans="1:9" ht="11.25" customHeight="1">
      <c r="A1149" s="1853" t="s">
        <v>2101</v>
      </c>
      <c r="B1149" s="1853" t="s">
        <v>0</v>
      </c>
      <c r="C1149" s="1853" t="s">
        <v>3918</v>
      </c>
      <c r="D1149" s="1853" t="s">
        <v>3919</v>
      </c>
      <c r="E1149" s="1853" t="s">
        <v>3920</v>
      </c>
      <c r="F1149" s="1853" t="s">
        <v>2424</v>
      </c>
      <c r="G1149" s="1853" t="s">
        <v>1</v>
      </c>
      <c r="H1149" s="1853" t="s">
        <v>1</v>
      </c>
      <c r="I1149" s="1853" t="s">
        <v>687</v>
      </c>
    </row>
    <row r="1150" spans="1:9" ht="11.25" customHeight="1">
      <c r="A1150" s="1853" t="s">
        <v>2101</v>
      </c>
      <c r="B1150" s="1853" t="s">
        <v>0</v>
      </c>
      <c r="C1150" s="1853" t="s">
        <v>3921</v>
      </c>
      <c r="D1150" s="1853" t="s">
        <v>3922</v>
      </c>
      <c r="E1150" s="1853" t="s">
        <v>3923</v>
      </c>
      <c r="F1150" s="1853" t="s">
        <v>2613</v>
      </c>
      <c r="G1150" s="1853" t="s">
        <v>1</v>
      </c>
      <c r="H1150" s="1853" t="s">
        <v>1</v>
      </c>
      <c r="I1150" s="1853" t="s">
        <v>687</v>
      </c>
    </row>
    <row r="1151" spans="1:9" ht="11.25" customHeight="1">
      <c r="A1151" s="1853" t="s">
        <v>2101</v>
      </c>
      <c r="B1151" s="1853" t="s">
        <v>0</v>
      </c>
      <c r="C1151" s="1853" t="s">
        <v>3924</v>
      </c>
      <c r="D1151" s="1853" t="s">
        <v>3925</v>
      </c>
      <c r="E1151" s="1853" t="s">
        <v>3926</v>
      </c>
      <c r="F1151" s="1853" t="s">
        <v>3019</v>
      </c>
      <c r="G1151" s="1853" t="s">
        <v>3927</v>
      </c>
      <c r="H1151" s="1853" t="s">
        <v>1</v>
      </c>
      <c r="I1151" s="1853" t="s">
        <v>687</v>
      </c>
    </row>
    <row r="1152" spans="1:9" ht="11.25" customHeight="1">
      <c r="A1152" s="1853" t="s">
        <v>2101</v>
      </c>
      <c r="B1152" s="1853" t="s">
        <v>0</v>
      </c>
      <c r="C1152" s="1853" t="s">
        <v>3928</v>
      </c>
      <c r="D1152" s="1853" t="s">
        <v>3929</v>
      </c>
      <c r="E1152" s="1853" t="s">
        <v>3930</v>
      </c>
      <c r="F1152" s="1853" t="s">
        <v>2424</v>
      </c>
      <c r="G1152" s="1853" t="s">
        <v>3931</v>
      </c>
      <c r="H1152" s="1853" t="s">
        <v>1</v>
      </c>
      <c r="I1152" s="1853" t="s">
        <v>687</v>
      </c>
    </row>
    <row r="1153" spans="1:9" ht="11.25" customHeight="1">
      <c r="A1153" s="1853" t="s">
        <v>2101</v>
      </c>
      <c r="B1153" s="1853" t="s">
        <v>0</v>
      </c>
      <c r="C1153" s="1853" t="s">
        <v>3932</v>
      </c>
      <c r="D1153" s="1853" t="s">
        <v>3933</v>
      </c>
      <c r="E1153" s="1853" t="s">
        <v>3934</v>
      </c>
      <c r="F1153" s="1853" t="s">
        <v>2211</v>
      </c>
      <c r="G1153" s="1853" t="s">
        <v>1</v>
      </c>
      <c r="H1153" s="1853" t="s">
        <v>1</v>
      </c>
      <c r="I1153" s="1853" t="s">
        <v>687</v>
      </c>
    </row>
    <row r="1154" spans="1:9" ht="11.25" customHeight="1">
      <c r="A1154" s="1853" t="s">
        <v>2101</v>
      </c>
      <c r="B1154" s="1853" t="s">
        <v>0</v>
      </c>
      <c r="C1154" s="1853" t="s">
        <v>3948</v>
      </c>
      <c r="D1154" s="1853" t="s">
        <v>3949</v>
      </c>
      <c r="E1154" s="1853" t="s">
        <v>3950</v>
      </c>
      <c r="F1154" s="1853" t="s">
        <v>2207</v>
      </c>
      <c r="G1154" s="1853" t="s">
        <v>1</v>
      </c>
      <c r="H1154" s="1853" t="s">
        <v>1</v>
      </c>
      <c r="I1154" s="1853" t="s">
        <v>687</v>
      </c>
    </row>
    <row r="1155" spans="1:9" ht="11.25" customHeight="1">
      <c r="A1155" s="1853" t="s">
        <v>2101</v>
      </c>
      <c r="B1155" s="1853" t="s">
        <v>0</v>
      </c>
      <c r="C1155" s="1853" t="s">
        <v>4523</v>
      </c>
      <c r="D1155" s="1853" t="s">
        <v>4524</v>
      </c>
      <c r="E1155" s="1853" t="s">
        <v>4525</v>
      </c>
      <c r="F1155" s="1853" t="s">
        <v>2173</v>
      </c>
      <c r="G1155" s="1853" t="s">
        <v>1</v>
      </c>
      <c r="H1155" s="1853" t="s">
        <v>1</v>
      </c>
      <c r="I1155" s="1853" t="s">
        <v>687</v>
      </c>
    </row>
    <row r="1156" spans="1:9" ht="11.25" customHeight="1">
      <c r="A1156" s="1853" t="s">
        <v>2101</v>
      </c>
      <c r="B1156" s="1853" t="s">
        <v>0</v>
      </c>
      <c r="C1156" s="1853" t="s">
        <v>3964</v>
      </c>
      <c r="D1156" s="1853" t="s">
        <v>3965</v>
      </c>
      <c r="E1156" s="1853" t="s">
        <v>3966</v>
      </c>
      <c r="F1156" s="1853" t="s">
        <v>2159</v>
      </c>
      <c r="G1156" s="1853" t="s">
        <v>3045</v>
      </c>
      <c r="H1156" s="1853" t="s">
        <v>1</v>
      </c>
      <c r="I1156" s="1853" t="s">
        <v>687</v>
      </c>
    </row>
    <row r="1157" spans="1:9" ht="11.25" customHeight="1">
      <c r="A1157" s="1853" t="s">
        <v>2101</v>
      </c>
      <c r="B1157" s="1853" t="s">
        <v>0</v>
      </c>
      <c r="C1157" s="1853" t="s">
        <v>3967</v>
      </c>
      <c r="D1157" s="1853" t="s">
        <v>3968</v>
      </c>
      <c r="E1157" s="1853" t="s">
        <v>3969</v>
      </c>
      <c r="F1157" s="1853" t="s">
        <v>2230</v>
      </c>
      <c r="G1157" s="1853" t="s">
        <v>3970</v>
      </c>
      <c r="H1157" s="1853" t="s">
        <v>1</v>
      </c>
      <c r="I1157" s="1853" t="s">
        <v>687</v>
      </c>
    </row>
    <row r="1158" spans="1:9" ht="11.25" customHeight="1">
      <c r="A1158" s="1853" t="s">
        <v>2101</v>
      </c>
      <c r="B1158" s="1853" t="s">
        <v>0</v>
      </c>
      <c r="C1158" s="1853" t="s">
        <v>3971</v>
      </c>
      <c r="D1158" s="1853" t="s">
        <v>3972</v>
      </c>
      <c r="E1158" s="1853" t="s">
        <v>2382</v>
      </c>
      <c r="F1158" s="1853" t="s">
        <v>3973</v>
      </c>
      <c r="G1158" s="1853" t="s">
        <v>1</v>
      </c>
      <c r="H1158" s="1853" t="s">
        <v>1</v>
      </c>
      <c r="I1158" s="1853" t="s">
        <v>687</v>
      </c>
    </row>
    <row r="1159" spans="1:9" ht="11.25" customHeight="1">
      <c r="A1159" s="1853" t="s">
        <v>2101</v>
      </c>
      <c r="B1159" s="1853" t="s">
        <v>0</v>
      </c>
      <c r="C1159" s="1853" t="s">
        <v>3974</v>
      </c>
      <c r="D1159" s="1853" t="s">
        <v>3975</v>
      </c>
      <c r="E1159" s="1853" t="s">
        <v>2382</v>
      </c>
      <c r="F1159" s="1853" t="s">
        <v>3976</v>
      </c>
      <c r="G1159" s="1853" t="s">
        <v>1</v>
      </c>
      <c r="H1159" s="1853" t="s">
        <v>1</v>
      </c>
      <c r="I1159" s="1853" t="s">
        <v>687</v>
      </c>
    </row>
    <row r="1160" spans="1:9" ht="11.25" customHeight="1">
      <c r="A1160" s="1853" t="s">
        <v>2101</v>
      </c>
      <c r="B1160" s="1853" t="s">
        <v>0</v>
      </c>
      <c r="C1160" s="1853" t="s">
        <v>3977</v>
      </c>
      <c r="D1160" s="1853" t="s">
        <v>3978</v>
      </c>
      <c r="E1160" s="1853" t="s">
        <v>3979</v>
      </c>
      <c r="F1160" s="1853" t="s">
        <v>2424</v>
      </c>
      <c r="G1160" s="1853" t="s">
        <v>3980</v>
      </c>
      <c r="H1160" s="1853" t="s">
        <v>1</v>
      </c>
      <c r="I1160" s="1853" t="s">
        <v>687</v>
      </c>
    </row>
    <row r="1161" spans="1:9" ht="11.25" customHeight="1">
      <c r="A1161" s="1853" t="s">
        <v>2101</v>
      </c>
      <c r="B1161" s="1853" t="s">
        <v>0</v>
      </c>
      <c r="C1161" s="1853" t="s">
        <v>3984</v>
      </c>
      <c r="D1161" s="1853" t="s">
        <v>3985</v>
      </c>
      <c r="E1161" s="1853" t="s">
        <v>3986</v>
      </c>
      <c r="F1161" s="1853" t="s">
        <v>2589</v>
      </c>
      <c r="G1161" s="1853" t="s">
        <v>1</v>
      </c>
      <c r="H1161" s="1853" t="s">
        <v>1</v>
      </c>
      <c r="I1161" s="1853" t="s">
        <v>687</v>
      </c>
    </row>
    <row r="1162" spans="1:9" ht="11.25" customHeight="1">
      <c r="A1162" s="1853" t="s">
        <v>2101</v>
      </c>
      <c r="B1162" s="1853" t="s">
        <v>0</v>
      </c>
      <c r="C1162" s="1853" t="s">
        <v>3987</v>
      </c>
      <c r="D1162" s="1853" t="s">
        <v>3988</v>
      </c>
      <c r="E1162" s="1853" t="s">
        <v>3989</v>
      </c>
      <c r="F1162" s="1853" t="s">
        <v>2196</v>
      </c>
      <c r="G1162" s="1853" t="s">
        <v>3574</v>
      </c>
      <c r="H1162" s="1853" t="s">
        <v>1</v>
      </c>
      <c r="I1162" s="1853" t="s">
        <v>687</v>
      </c>
    </row>
    <row r="1163" spans="1:9" ht="11.25" customHeight="1">
      <c r="A1163" s="1853" t="s">
        <v>2101</v>
      </c>
      <c r="B1163" s="1853" t="s">
        <v>0</v>
      </c>
      <c r="C1163" s="1853" t="s">
        <v>4526</v>
      </c>
      <c r="D1163" s="1853" t="s">
        <v>4527</v>
      </c>
      <c r="E1163" s="1853" t="s">
        <v>4528</v>
      </c>
      <c r="F1163" s="1853" t="s">
        <v>2211</v>
      </c>
      <c r="G1163" s="1853" t="s">
        <v>1</v>
      </c>
      <c r="H1163" s="1853" t="s">
        <v>1</v>
      </c>
      <c r="I1163" s="1853" t="s">
        <v>687</v>
      </c>
    </row>
    <row r="1164" spans="1:9" ht="11.25" customHeight="1">
      <c r="A1164" s="1853" t="s">
        <v>2101</v>
      </c>
      <c r="B1164" s="1853" t="s">
        <v>0</v>
      </c>
      <c r="C1164" s="1853" t="s">
        <v>4002</v>
      </c>
      <c r="D1164" s="1853" t="s">
        <v>4003</v>
      </c>
      <c r="E1164" s="1853" t="s">
        <v>4004</v>
      </c>
      <c r="F1164" s="1853" t="s">
        <v>2741</v>
      </c>
      <c r="G1164" s="1853" t="s">
        <v>1</v>
      </c>
      <c r="H1164" s="1853" t="s">
        <v>1</v>
      </c>
      <c r="I1164" s="1853" t="s">
        <v>687</v>
      </c>
    </row>
    <row r="1165" spans="1:9" ht="11.25" customHeight="1">
      <c r="A1165" s="1853" t="s">
        <v>2101</v>
      </c>
      <c r="B1165" s="1853" t="s">
        <v>0</v>
      </c>
      <c r="C1165" s="1853" t="s">
        <v>4005</v>
      </c>
      <c r="D1165" s="1853" t="s">
        <v>4006</v>
      </c>
      <c r="E1165" s="1853" t="s">
        <v>4007</v>
      </c>
      <c r="F1165" s="1853" t="s">
        <v>3019</v>
      </c>
      <c r="G1165" s="1853" t="s">
        <v>1</v>
      </c>
      <c r="H1165" s="1853" t="s">
        <v>1</v>
      </c>
      <c r="I1165" s="1853" t="s">
        <v>687</v>
      </c>
    </row>
    <row r="1166" spans="1:9" ht="11.25" customHeight="1">
      <c r="A1166" s="1853" t="s">
        <v>2101</v>
      </c>
      <c r="B1166" s="1853" t="s">
        <v>0</v>
      </c>
      <c r="C1166" s="1853" t="s">
        <v>4015</v>
      </c>
      <c r="D1166" s="1853" t="s">
        <v>4016</v>
      </c>
      <c r="E1166" s="1853" t="s">
        <v>4017</v>
      </c>
      <c r="F1166" s="1853" t="s">
        <v>4018</v>
      </c>
      <c r="G1166" s="1853" t="s">
        <v>1</v>
      </c>
      <c r="H1166" s="1853" t="s">
        <v>1</v>
      </c>
      <c r="I1166" s="1853" t="s">
        <v>687</v>
      </c>
    </row>
    <row r="1167" spans="1:9" ht="11.25" customHeight="1">
      <c r="A1167" s="1853" t="s">
        <v>2101</v>
      </c>
      <c r="B1167" s="1853" t="s">
        <v>0</v>
      </c>
      <c r="C1167" s="1853" t="s">
        <v>4019</v>
      </c>
      <c r="D1167" s="1853" t="s">
        <v>4020</v>
      </c>
      <c r="E1167" s="1853" t="s">
        <v>4021</v>
      </c>
      <c r="F1167" s="1853" t="s">
        <v>2416</v>
      </c>
      <c r="G1167" s="1853" t="s">
        <v>3574</v>
      </c>
      <c r="H1167" s="1853" t="s">
        <v>1</v>
      </c>
      <c r="I1167" s="1853" t="s">
        <v>687</v>
      </c>
    </row>
    <row r="1168" spans="1:9" ht="11.25" customHeight="1">
      <c r="A1168" s="1853" t="s">
        <v>2101</v>
      </c>
      <c r="B1168" s="1853" t="s">
        <v>0</v>
      </c>
      <c r="C1168" s="1853" t="s">
        <v>4026</v>
      </c>
      <c r="D1168" s="1853" t="s">
        <v>4027</v>
      </c>
      <c r="E1168" s="1853" t="s">
        <v>4028</v>
      </c>
      <c r="F1168" s="1853" t="s">
        <v>3878</v>
      </c>
      <c r="G1168" s="1853" t="s">
        <v>4029</v>
      </c>
      <c r="H1168" s="1853" t="s">
        <v>1</v>
      </c>
      <c r="I1168" s="1853" t="s">
        <v>687</v>
      </c>
    </row>
    <row r="1169" spans="1:9" ht="11.25" customHeight="1">
      <c r="A1169" s="1853" t="s">
        <v>2101</v>
      </c>
      <c r="B1169" s="1853" t="s">
        <v>0</v>
      </c>
      <c r="C1169" s="1853" t="s">
        <v>4030</v>
      </c>
      <c r="D1169" s="1853" t="s">
        <v>4031</v>
      </c>
      <c r="E1169" s="1853" t="s">
        <v>4032</v>
      </c>
      <c r="F1169" s="1853" t="s">
        <v>2222</v>
      </c>
      <c r="G1169" s="1853" t="s">
        <v>1</v>
      </c>
      <c r="H1169" s="1853" t="s">
        <v>1</v>
      </c>
      <c r="I1169" s="1853" t="s">
        <v>687</v>
      </c>
    </row>
    <row r="1170" spans="1:9" ht="11.25" customHeight="1">
      <c r="A1170" s="1853" t="s">
        <v>2101</v>
      </c>
      <c r="B1170" s="1853" t="s">
        <v>0</v>
      </c>
      <c r="C1170" s="1853" t="s">
        <v>4033</v>
      </c>
      <c r="D1170" s="1853" t="s">
        <v>4034</v>
      </c>
      <c r="E1170" s="1853" t="s">
        <v>4035</v>
      </c>
      <c r="F1170" s="1853" t="s">
        <v>2159</v>
      </c>
      <c r="G1170" s="1853" t="s">
        <v>4036</v>
      </c>
      <c r="H1170" s="1853" t="s">
        <v>1</v>
      </c>
      <c r="I1170" s="1853" t="s">
        <v>687</v>
      </c>
    </row>
    <row r="1171" spans="1:9" ht="11.25" customHeight="1">
      <c r="A1171" s="1853" t="s">
        <v>2101</v>
      </c>
      <c r="B1171" s="1853" t="s">
        <v>0</v>
      </c>
      <c r="C1171" s="1853" t="s">
        <v>4529</v>
      </c>
      <c r="D1171" s="1853" t="s">
        <v>4530</v>
      </c>
      <c r="E1171" s="1853" t="s">
        <v>4531</v>
      </c>
      <c r="F1171" s="1853" t="s">
        <v>3019</v>
      </c>
      <c r="G1171" s="1853" t="s">
        <v>4532</v>
      </c>
      <c r="H1171" s="1853" t="s">
        <v>1</v>
      </c>
      <c r="I1171" s="1853" t="s">
        <v>687</v>
      </c>
    </row>
    <row r="1172" spans="1:9" ht="11.25" customHeight="1">
      <c r="A1172" s="1853" t="s">
        <v>2101</v>
      </c>
      <c r="B1172" s="1853" t="s">
        <v>0</v>
      </c>
      <c r="C1172" s="1853" t="s">
        <v>4046</v>
      </c>
      <c r="D1172" s="1853" t="s">
        <v>4047</v>
      </c>
      <c r="E1172" s="1853" t="s">
        <v>4048</v>
      </c>
      <c r="F1172" s="1853" t="s">
        <v>2207</v>
      </c>
      <c r="G1172" s="1853" t="s">
        <v>1</v>
      </c>
      <c r="H1172" s="1853" t="s">
        <v>1</v>
      </c>
      <c r="I1172" s="1853" t="s">
        <v>687</v>
      </c>
    </row>
    <row r="1173" spans="1:9" ht="11.25" customHeight="1">
      <c r="A1173" s="1853" t="s">
        <v>2101</v>
      </c>
      <c r="B1173" s="1853" t="s">
        <v>0</v>
      </c>
      <c r="C1173" s="1853" t="s">
        <v>4049</v>
      </c>
      <c r="D1173" s="1853" t="s">
        <v>4050</v>
      </c>
      <c r="E1173" s="1853" t="s">
        <v>4051</v>
      </c>
      <c r="F1173" s="1853" t="s">
        <v>2211</v>
      </c>
      <c r="G1173" s="1853" t="s">
        <v>4052</v>
      </c>
      <c r="H1173" s="1853" t="s">
        <v>1</v>
      </c>
      <c r="I1173" s="1853" t="s">
        <v>687</v>
      </c>
    </row>
    <row r="1174" spans="1:9" ht="11.25" customHeight="1">
      <c r="A1174" s="1853" t="s">
        <v>2101</v>
      </c>
      <c r="B1174" s="1853" t="s">
        <v>0</v>
      </c>
      <c r="C1174" s="1853" t="s">
        <v>4053</v>
      </c>
      <c r="D1174" s="1853" t="s">
        <v>4054</v>
      </c>
      <c r="E1174" s="1853" t="s">
        <v>4055</v>
      </c>
      <c r="F1174" s="1853" t="s">
        <v>2178</v>
      </c>
      <c r="G1174" s="1853" t="s">
        <v>4056</v>
      </c>
      <c r="H1174" s="1853" t="s">
        <v>1</v>
      </c>
      <c r="I1174" s="1853" t="s">
        <v>687</v>
      </c>
    </row>
    <row r="1175" spans="1:9" ht="11.25" customHeight="1">
      <c r="A1175" s="1853" t="s">
        <v>2101</v>
      </c>
      <c r="B1175" s="1853" t="s">
        <v>0</v>
      </c>
      <c r="C1175" s="1853" t="s">
        <v>4057</v>
      </c>
      <c r="D1175" s="1853" t="s">
        <v>4058</v>
      </c>
      <c r="E1175" s="1853" t="s">
        <v>4059</v>
      </c>
      <c r="F1175" s="1853" t="s">
        <v>3087</v>
      </c>
      <c r="G1175" s="1853" t="s">
        <v>4060</v>
      </c>
      <c r="H1175" s="1853" t="s">
        <v>1</v>
      </c>
      <c r="I1175" s="1853" t="s">
        <v>687</v>
      </c>
    </row>
    <row r="1176" spans="1:9" ht="11.25" customHeight="1">
      <c r="A1176" s="1853" t="s">
        <v>2101</v>
      </c>
      <c r="B1176" s="1853" t="s">
        <v>0</v>
      </c>
      <c r="C1176" s="1853" t="s">
        <v>4061</v>
      </c>
      <c r="D1176" s="1853" t="s">
        <v>4062</v>
      </c>
      <c r="E1176" s="1853" t="s">
        <v>4063</v>
      </c>
      <c r="F1176" s="1853" t="s">
        <v>4064</v>
      </c>
      <c r="G1176" s="1853" t="s">
        <v>4065</v>
      </c>
      <c r="H1176" s="1853" t="s">
        <v>1</v>
      </c>
      <c r="I1176" s="1853" t="s">
        <v>687</v>
      </c>
    </row>
    <row r="1177" spans="1:9" ht="11.25" customHeight="1">
      <c r="A1177" s="1853" t="s">
        <v>2101</v>
      </c>
      <c r="B1177" s="1853" t="s">
        <v>0</v>
      </c>
      <c r="C1177" s="1853" t="s">
        <v>4070</v>
      </c>
      <c r="D1177" s="1853" t="s">
        <v>4071</v>
      </c>
      <c r="E1177" s="1853" t="s">
        <v>4072</v>
      </c>
      <c r="F1177" s="1853" t="s">
        <v>2230</v>
      </c>
      <c r="G1177" s="1853" t="s">
        <v>1</v>
      </c>
      <c r="H1177" s="1853" t="s">
        <v>1</v>
      </c>
      <c r="I1177" s="1853" t="s">
        <v>687</v>
      </c>
    </row>
    <row r="1178" spans="1:9" ht="11.25" customHeight="1">
      <c r="A1178" s="1853" t="s">
        <v>2101</v>
      </c>
      <c r="B1178" s="1853" t="s">
        <v>0</v>
      </c>
      <c r="C1178" s="1853" t="s">
        <v>4073</v>
      </c>
      <c r="D1178" s="1853" t="s">
        <v>4074</v>
      </c>
      <c r="E1178" s="1853" t="s">
        <v>4032</v>
      </c>
      <c r="F1178" s="1853" t="s">
        <v>4075</v>
      </c>
      <c r="G1178" s="1853" t="s">
        <v>1</v>
      </c>
      <c r="H1178" s="1853" t="s">
        <v>1</v>
      </c>
      <c r="I1178" s="1853" t="s">
        <v>687</v>
      </c>
    </row>
    <row r="1179" spans="1:9" ht="11.25" customHeight="1">
      <c r="A1179" s="1853" t="s">
        <v>2101</v>
      </c>
      <c r="B1179" s="1853" t="s">
        <v>0</v>
      </c>
      <c r="C1179" s="1853" t="s">
        <v>4076</v>
      </c>
      <c r="D1179" s="1853" t="s">
        <v>4077</v>
      </c>
      <c r="E1179" s="1853" t="s">
        <v>4032</v>
      </c>
      <c r="F1179" s="1853" t="s">
        <v>2676</v>
      </c>
      <c r="G1179" s="1853" t="s">
        <v>4078</v>
      </c>
      <c r="H1179" s="1853" t="s">
        <v>1</v>
      </c>
      <c r="I1179" s="1853" t="s">
        <v>687</v>
      </c>
    </row>
    <row r="1180" spans="1:9" ht="11.25" customHeight="1">
      <c r="A1180" s="1853" t="s">
        <v>2101</v>
      </c>
      <c r="B1180" s="1853" t="s">
        <v>0</v>
      </c>
      <c r="C1180" s="1853" t="s">
        <v>4079</v>
      </c>
      <c r="D1180" s="1853" t="s">
        <v>4080</v>
      </c>
      <c r="E1180" s="1853" t="s">
        <v>4081</v>
      </c>
      <c r="F1180" s="1853" t="s">
        <v>2379</v>
      </c>
      <c r="G1180" s="1853" t="s">
        <v>1</v>
      </c>
      <c r="H1180" s="1853" t="s">
        <v>1</v>
      </c>
      <c r="I1180" s="1853" t="s">
        <v>687</v>
      </c>
    </row>
    <row r="1181" spans="1:9" ht="11.25" customHeight="1">
      <c r="A1181" s="1853" t="s">
        <v>2101</v>
      </c>
      <c r="B1181" s="1853" t="s">
        <v>0</v>
      </c>
      <c r="C1181" s="1853" t="s">
        <v>4533</v>
      </c>
      <c r="D1181" s="1853" t="s">
        <v>4534</v>
      </c>
      <c r="E1181" s="1853" t="s">
        <v>4535</v>
      </c>
      <c r="F1181" s="1853" t="s">
        <v>4536</v>
      </c>
      <c r="G1181" s="1853" t="s">
        <v>1</v>
      </c>
      <c r="H1181" s="1853" t="s">
        <v>1</v>
      </c>
      <c r="I1181" s="1853" t="s">
        <v>687</v>
      </c>
    </row>
    <row r="1182" spans="1:9" ht="11.25" customHeight="1">
      <c r="A1182" s="1853" t="s">
        <v>2101</v>
      </c>
      <c r="B1182" s="1853" t="s">
        <v>0</v>
      </c>
      <c r="C1182" s="1853" t="s">
        <v>4537</v>
      </c>
      <c r="D1182" s="1853" t="s">
        <v>4538</v>
      </c>
      <c r="E1182" s="1853" t="s">
        <v>4539</v>
      </c>
      <c r="F1182" s="1853" t="s">
        <v>2683</v>
      </c>
      <c r="G1182" s="1853" t="s">
        <v>1</v>
      </c>
      <c r="H1182" s="1853" t="s">
        <v>1</v>
      </c>
      <c r="I1182" s="1853" t="s">
        <v>687</v>
      </c>
    </row>
    <row r="1183" spans="1:9" ht="11.25" customHeight="1">
      <c r="A1183" s="1853" t="s">
        <v>2101</v>
      </c>
      <c r="B1183" s="1853" t="s">
        <v>0</v>
      </c>
      <c r="C1183" s="1853" t="s">
        <v>4082</v>
      </c>
      <c r="D1183" s="1853" t="s">
        <v>4083</v>
      </c>
      <c r="E1183" s="1853" t="s">
        <v>4084</v>
      </c>
      <c r="F1183" s="1853" t="s">
        <v>2132</v>
      </c>
      <c r="G1183" s="1853" t="s">
        <v>4085</v>
      </c>
      <c r="H1183" s="1853" t="s">
        <v>1</v>
      </c>
      <c r="I1183" s="1853" t="s">
        <v>687</v>
      </c>
    </row>
    <row r="1184" spans="1:9" ht="11.25" customHeight="1">
      <c r="A1184" s="1853" t="s">
        <v>2101</v>
      </c>
      <c r="B1184" s="1853" t="s">
        <v>0</v>
      </c>
      <c r="C1184" s="1853" t="s">
        <v>4540</v>
      </c>
      <c r="D1184" s="1853" t="s">
        <v>4541</v>
      </c>
      <c r="E1184" s="1853" t="s">
        <v>4542</v>
      </c>
      <c r="F1184" s="1853" t="s">
        <v>2683</v>
      </c>
      <c r="G1184" s="1853" t="s">
        <v>4543</v>
      </c>
      <c r="H1184" s="1853" t="s">
        <v>1</v>
      </c>
      <c r="I1184" s="1853" t="s">
        <v>687</v>
      </c>
    </row>
    <row r="1185" spans="1:9" ht="11.25" customHeight="1">
      <c r="A1185" s="1853" t="s">
        <v>2101</v>
      </c>
      <c r="B1185" s="1853" t="s">
        <v>0</v>
      </c>
      <c r="C1185" s="1853" t="s">
        <v>4544</v>
      </c>
      <c r="D1185" s="1853" t="s">
        <v>4545</v>
      </c>
      <c r="E1185" s="1853" t="s">
        <v>4546</v>
      </c>
      <c r="F1185" s="1853" t="s">
        <v>4388</v>
      </c>
      <c r="G1185" s="1853" t="s">
        <v>1</v>
      </c>
      <c r="H1185" s="1853" t="s">
        <v>1</v>
      </c>
      <c r="I1185" s="1853" t="s">
        <v>687</v>
      </c>
    </row>
    <row r="1186" spans="1:9" ht="11.25" customHeight="1">
      <c r="A1186" s="1853" t="s">
        <v>2101</v>
      </c>
      <c r="B1186" s="1853" t="s">
        <v>0</v>
      </c>
      <c r="C1186" s="1853" t="s">
        <v>4547</v>
      </c>
      <c r="D1186" s="1853" t="s">
        <v>4548</v>
      </c>
      <c r="E1186" s="1853" t="s">
        <v>4549</v>
      </c>
      <c r="F1186" s="1853" t="s">
        <v>2749</v>
      </c>
      <c r="G1186" s="1853" t="s">
        <v>1</v>
      </c>
      <c r="H1186" s="1853" t="s">
        <v>1</v>
      </c>
      <c r="I1186" s="1853" t="s">
        <v>687</v>
      </c>
    </row>
    <row r="1187" spans="1:9" ht="11.25" customHeight="1">
      <c r="A1187" s="1853" t="s">
        <v>2101</v>
      </c>
      <c r="B1187" s="1853" t="s">
        <v>0</v>
      </c>
      <c r="C1187" s="1853" t="s">
        <v>4550</v>
      </c>
      <c r="D1187" s="1853" t="s">
        <v>4551</v>
      </c>
      <c r="E1187" s="1853" t="s">
        <v>4552</v>
      </c>
      <c r="F1187" s="1853" t="s">
        <v>2745</v>
      </c>
      <c r="G1187" s="1853" t="s">
        <v>1</v>
      </c>
      <c r="H1187" s="1853" t="s">
        <v>1</v>
      </c>
      <c r="I1187" s="1853" t="s">
        <v>687</v>
      </c>
    </row>
    <row r="1188" spans="1:9" ht="11.25" customHeight="1">
      <c r="A1188" s="1853" t="s">
        <v>2101</v>
      </c>
      <c r="B1188" s="1853" t="s">
        <v>0</v>
      </c>
      <c r="C1188" s="1853" t="s">
        <v>4553</v>
      </c>
      <c r="D1188" s="1853" t="s">
        <v>4554</v>
      </c>
      <c r="E1188" s="1853" t="s">
        <v>4555</v>
      </c>
      <c r="F1188" s="1853" t="s">
        <v>2132</v>
      </c>
      <c r="G1188" s="1853" t="s">
        <v>1</v>
      </c>
      <c r="H1188" s="1853" t="s">
        <v>1</v>
      </c>
      <c r="I1188" s="1853" t="s">
        <v>687</v>
      </c>
    </row>
    <row r="1189" spans="1:9" ht="11.25" customHeight="1">
      <c r="A1189" s="1853" t="s">
        <v>2101</v>
      </c>
      <c r="B1189" s="1853" t="s">
        <v>0</v>
      </c>
      <c r="C1189" s="1853" t="s">
        <v>4556</v>
      </c>
      <c r="D1189" s="1853" t="s">
        <v>4557</v>
      </c>
      <c r="E1189" s="1853" t="s">
        <v>4558</v>
      </c>
      <c r="F1189" s="1853" t="s">
        <v>2745</v>
      </c>
      <c r="G1189" s="1853" t="s">
        <v>1</v>
      </c>
      <c r="H1189" s="1853" t="s">
        <v>1</v>
      </c>
      <c r="I1189" s="1853" t="s">
        <v>687</v>
      </c>
    </row>
    <row r="1190" spans="1:9" ht="11.25" customHeight="1">
      <c r="A1190" s="1853" t="s">
        <v>2101</v>
      </c>
      <c r="B1190" s="1853" t="s">
        <v>0</v>
      </c>
      <c r="C1190" s="1853" t="s">
        <v>4559</v>
      </c>
      <c r="D1190" s="1853" t="s">
        <v>4560</v>
      </c>
      <c r="E1190" s="1853" t="s">
        <v>4561</v>
      </c>
      <c r="F1190" s="1853" t="s">
        <v>2683</v>
      </c>
      <c r="G1190" s="1853" t="s">
        <v>1</v>
      </c>
      <c r="H1190" s="1853" t="s">
        <v>1</v>
      </c>
      <c r="I1190" s="1853" t="s">
        <v>687</v>
      </c>
    </row>
    <row r="1191" spans="1:9" ht="11.25" customHeight="1">
      <c r="A1191" s="1853" t="s">
        <v>2101</v>
      </c>
      <c r="B1191" s="1853" t="s">
        <v>0</v>
      </c>
      <c r="C1191" s="1853" t="s">
        <v>4562</v>
      </c>
      <c r="D1191" s="1853" t="s">
        <v>4563</v>
      </c>
      <c r="E1191" s="1853" t="s">
        <v>4564</v>
      </c>
      <c r="F1191" s="1853" t="s">
        <v>3490</v>
      </c>
      <c r="G1191" s="1853" t="s">
        <v>4565</v>
      </c>
      <c r="H1191" s="1853" t="s">
        <v>1</v>
      </c>
      <c r="I1191" s="1853" t="s">
        <v>687</v>
      </c>
    </row>
    <row r="1192" spans="1:9" ht="11.25" customHeight="1">
      <c r="A1192" s="1853" t="s">
        <v>2101</v>
      </c>
      <c r="B1192" s="1853" t="s">
        <v>0</v>
      </c>
      <c r="C1192" s="1853" t="s">
        <v>4101</v>
      </c>
      <c r="D1192" s="1853" t="s">
        <v>4102</v>
      </c>
      <c r="E1192" s="1853" t="s">
        <v>4103</v>
      </c>
      <c r="F1192" s="1853" t="s">
        <v>2105</v>
      </c>
      <c r="G1192" s="1853" t="s">
        <v>4104</v>
      </c>
      <c r="H1192" s="1853" t="s">
        <v>1</v>
      </c>
      <c r="I1192" s="1853" t="s">
        <v>687</v>
      </c>
    </row>
    <row r="1193" spans="1:9" ht="11.25" customHeight="1">
      <c r="A1193" s="1853" t="s">
        <v>2101</v>
      </c>
      <c r="B1193" s="1853" t="s">
        <v>0</v>
      </c>
      <c r="C1193" s="1853" t="s">
        <v>4105</v>
      </c>
      <c r="D1193" s="1853" t="s">
        <v>4106</v>
      </c>
      <c r="E1193" s="1853" t="s">
        <v>4107</v>
      </c>
      <c r="F1193" s="1853" t="s">
        <v>4108</v>
      </c>
      <c r="G1193" s="1853" t="s">
        <v>1</v>
      </c>
      <c r="H1193" s="1853" t="s">
        <v>1</v>
      </c>
      <c r="I1193" s="1853" t="s">
        <v>687</v>
      </c>
    </row>
    <row r="1194" spans="1:9" ht="11.25" customHeight="1">
      <c r="A1194" s="1853" t="s">
        <v>2101</v>
      </c>
      <c r="B1194" s="1853" t="s">
        <v>0</v>
      </c>
      <c r="C1194" s="1853" t="s">
        <v>4125</v>
      </c>
      <c r="D1194" s="1853" t="s">
        <v>4126</v>
      </c>
      <c r="E1194" s="1853" t="s">
        <v>4127</v>
      </c>
      <c r="F1194" s="1853" t="s">
        <v>2222</v>
      </c>
      <c r="G1194" s="1853" t="s">
        <v>1</v>
      </c>
      <c r="H1194" s="1853" t="s">
        <v>1</v>
      </c>
      <c r="I1194" s="1853" t="s">
        <v>687</v>
      </c>
    </row>
    <row r="1195" spans="1:9" ht="11.25" customHeight="1">
      <c r="A1195" s="1853" t="s">
        <v>2101</v>
      </c>
      <c r="B1195" s="1853" t="s">
        <v>0</v>
      </c>
      <c r="C1195" s="1853" t="s">
        <v>4135</v>
      </c>
      <c r="D1195" s="1853" t="s">
        <v>4136</v>
      </c>
      <c r="E1195" s="1853" t="s">
        <v>4137</v>
      </c>
      <c r="F1195" s="1853" t="s">
        <v>2222</v>
      </c>
      <c r="G1195" s="1853" t="s">
        <v>1</v>
      </c>
      <c r="H1195" s="1853" t="s">
        <v>1</v>
      </c>
      <c r="I1195" s="1853" t="s">
        <v>687</v>
      </c>
    </row>
    <row r="1196" spans="1:9" ht="11.25" customHeight="1">
      <c r="A1196" s="1853" t="s">
        <v>2101</v>
      </c>
      <c r="B1196" s="1853" t="s">
        <v>0</v>
      </c>
      <c r="C1196" s="1853" t="s">
        <v>4141</v>
      </c>
      <c r="D1196" s="1853" t="s">
        <v>4142</v>
      </c>
      <c r="E1196" s="1853" t="s">
        <v>4143</v>
      </c>
      <c r="F1196" s="1853" t="s">
        <v>2196</v>
      </c>
      <c r="G1196" s="1853" t="s">
        <v>4144</v>
      </c>
      <c r="H1196" s="1853" t="s">
        <v>1</v>
      </c>
      <c r="I1196" s="1853" t="s">
        <v>687</v>
      </c>
    </row>
    <row r="1197" spans="1:9" ht="11.25" customHeight="1">
      <c r="A1197" s="1853" t="s">
        <v>2101</v>
      </c>
      <c r="B1197" s="1853" t="s">
        <v>0</v>
      </c>
      <c r="C1197" s="1853" t="s">
        <v>4145</v>
      </c>
      <c r="D1197" s="1853" t="s">
        <v>4146</v>
      </c>
      <c r="E1197" s="1853" t="s">
        <v>4147</v>
      </c>
      <c r="F1197" s="1853" t="s">
        <v>2416</v>
      </c>
      <c r="G1197" s="1853" t="s">
        <v>1</v>
      </c>
      <c r="H1197" s="1853" t="s">
        <v>1</v>
      </c>
      <c r="I1197" s="1853" t="s">
        <v>687</v>
      </c>
    </row>
    <row r="1198" spans="1:9" ht="11.25" customHeight="1">
      <c r="A1198" s="1853" t="s">
        <v>2101</v>
      </c>
      <c r="B1198" s="1853" t="s">
        <v>0</v>
      </c>
      <c r="C1198" s="1853" t="s">
        <v>4566</v>
      </c>
      <c r="D1198" s="1853" t="s">
        <v>4567</v>
      </c>
      <c r="E1198" s="1853" t="s">
        <v>4568</v>
      </c>
      <c r="F1198" s="1853" t="s">
        <v>2136</v>
      </c>
      <c r="G1198" s="1853" t="s">
        <v>1</v>
      </c>
      <c r="H1198" s="1853" t="s">
        <v>1</v>
      </c>
      <c r="I1198" s="1853" t="s">
        <v>687</v>
      </c>
    </row>
    <row r="1199" spans="1:9" ht="11.25" customHeight="1">
      <c r="A1199" s="1853" t="s">
        <v>2101</v>
      </c>
      <c r="B1199" s="1853" t="s">
        <v>0</v>
      </c>
      <c r="C1199" s="1853" t="s">
        <v>4151</v>
      </c>
      <c r="D1199" s="1853" t="s">
        <v>4152</v>
      </c>
      <c r="E1199" s="1853" t="s">
        <v>4127</v>
      </c>
      <c r="F1199" s="1853" t="s">
        <v>2605</v>
      </c>
      <c r="G1199" s="1853" t="s">
        <v>4153</v>
      </c>
      <c r="H1199" s="1853" t="s">
        <v>1</v>
      </c>
      <c r="I1199" s="1853" t="s">
        <v>687</v>
      </c>
    </row>
    <row r="1200" spans="1:9" ht="11.25" customHeight="1">
      <c r="A1200" s="1853" t="s">
        <v>2101</v>
      </c>
      <c r="B1200" s="1853" t="s">
        <v>0</v>
      </c>
      <c r="C1200" s="1853" t="s">
        <v>4157</v>
      </c>
      <c r="D1200" s="1853" t="s">
        <v>4158</v>
      </c>
      <c r="E1200" s="1853" t="s">
        <v>4063</v>
      </c>
      <c r="F1200" s="1853" t="s">
        <v>4159</v>
      </c>
      <c r="G1200" s="1853" t="s">
        <v>4160</v>
      </c>
      <c r="H1200" s="1853" t="s">
        <v>1</v>
      </c>
      <c r="I1200" s="1853" t="s">
        <v>687</v>
      </c>
    </row>
    <row r="1201" spans="1:9" ht="11.25" customHeight="1">
      <c r="A1201" s="1853" t="s">
        <v>2101</v>
      </c>
      <c r="B1201" s="1853" t="s">
        <v>0</v>
      </c>
      <c r="C1201" s="1853" t="s">
        <v>4161</v>
      </c>
      <c r="D1201" s="1853" t="s">
        <v>4162</v>
      </c>
      <c r="E1201" s="1853" t="s">
        <v>2415</v>
      </c>
      <c r="F1201" s="1853" t="s">
        <v>4163</v>
      </c>
      <c r="G1201" s="1853" t="s">
        <v>1</v>
      </c>
      <c r="H1201" s="1853" t="s">
        <v>1</v>
      </c>
      <c r="I1201" s="1853" t="s">
        <v>687</v>
      </c>
    </row>
    <row r="1202" spans="1:9" ht="11.25" customHeight="1">
      <c r="A1202" s="1853" t="s">
        <v>2101</v>
      </c>
      <c r="B1202" s="1853" t="s">
        <v>0</v>
      </c>
      <c r="C1202" s="1853" t="s">
        <v>4164</v>
      </c>
      <c r="D1202" s="1853" t="s">
        <v>4165</v>
      </c>
      <c r="E1202" s="1853" t="s">
        <v>2415</v>
      </c>
      <c r="F1202" s="1853" t="s">
        <v>2509</v>
      </c>
      <c r="G1202" s="1853" t="s">
        <v>4166</v>
      </c>
      <c r="H1202" s="1853" t="s">
        <v>1</v>
      </c>
      <c r="I1202" s="1853" t="s">
        <v>687</v>
      </c>
    </row>
    <row r="1203" spans="1:9" ht="11.25" customHeight="1">
      <c r="A1203" s="1853" t="s">
        <v>2101</v>
      </c>
      <c r="B1203" s="1853" t="s">
        <v>0</v>
      </c>
      <c r="C1203" s="1853" t="s">
        <v>4175</v>
      </c>
      <c r="D1203" s="1853" t="s">
        <v>4176</v>
      </c>
      <c r="E1203" s="1853" t="s">
        <v>4177</v>
      </c>
      <c r="F1203" s="1853" t="s">
        <v>4178</v>
      </c>
      <c r="G1203" s="1853" t="s">
        <v>1</v>
      </c>
      <c r="H1203" s="1853" t="s">
        <v>1</v>
      </c>
      <c r="I1203" s="1853" t="s">
        <v>687</v>
      </c>
    </row>
    <row r="1204" spans="1:9" ht="11.25" customHeight="1">
      <c r="A1204" s="1853" t="s">
        <v>2101</v>
      </c>
      <c r="B1204" s="1853" t="s">
        <v>0</v>
      </c>
      <c r="C1204" s="1853" t="s">
        <v>2102</v>
      </c>
      <c r="D1204" s="1853" t="s">
        <v>2103</v>
      </c>
      <c r="E1204" s="1853" t="s">
        <v>2104</v>
      </c>
      <c r="F1204" s="1853" t="s">
        <v>2105</v>
      </c>
      <c r="G1204" s="1853" t="s">
        <v>2106</v>
      </c>
      <c r="H1204" s="1853" t="s">
        <v>1</v>
      </c>
      <c r="I1204" s="1853" t="s">
        <v>739</v>
      </c>
    </row>
    <row r="1205" spans="1:9" ht="11.25" customHeight="1">
      <c r="A1205" s="1853" t="s">
        <v>2101</v>
      </c>
      <c r="B1205" s="1853" t="s">
        <v>0</v>
      </c>
      <c r="C1205" s="1853" t="s">
        <v>4189</v>
      </c>
      <c r="D1205" s="1853" t="s">
        <v>4190</v>
      </c>
      <c r="E1205" s="1853" t="s">
        <v>4191</v>
      </c>
      <c r="F1205" s="1853" t="s">
        <v>2149</v>
      </c>
      <c r="G1205" s="1853" t="s">
        <v>1</v>
      </c>
      <c r="H1205" s="1853" t="s">
        <v>1</v>
      </c>
      <c r="I1205" s="1853" t="s">
        <v>739</v>
      </c>
    </row>
    <row r="1206" spans="1:9" ht="11.25" customHeight="1">
      <c r="A1206" s="1853" t="s">
        <v>2101</v>
      </c>
      <c r="B1206" s="1853" t="s">
        <v>0</v>
      </c>
      <c r="C1206" s="1853" t="s">
        <v>2111</v>
      </c>
      <c r="D1206" s="1853" t="s">
        <v>2112</v>
      </c>
      <c r="E1206" s="1853" t="s">
        <v>2113</v>
      </c>
      <c r="F1206" s="1853" t="s">
        <v>2114</v>
      </c>
      <c r="G1206" s="1853" t="s">
        <v>2115</v>
      </c>
      <c r="H1206" s="1853" t="s">
        <v>1</v>
      </c>
      <c r="I1206" s="1853" t="s">
        <v>739</v>
      </c>
    </row>
    <row r="1207" spans="1:9" ht="11.25" customHeight="1">
      <c r="A1207" s="1853" t="s">
        <v>2101</v>
      </c>
      <c r="B1207" s="1853" t="s">
        <v>0</v>
      </c>
      <c r="C1207" s="1853" t="s">
        <v>2120</v>
      </c>
      <c r="D1207" s="1853" t="s">
        <v>2121</v>
      </c>
      <c r="E1207" s="1853" t="s">
        <v>2122</v>
      </c>
      <c r="F1207" s="1853" t="s">
        <v>2123</v>
      </c>
      <c r="G1207" s="1853" t="s">
        <v>1</v>
      </c>
      <c r="H1207" s="1853" t="s">
        <v>1</v>
      </c>
      <c r="I1207" s="1853" t="s">
        <v>739</v>
      </c>
    </row>
    <row r="1208" spans="1:9" ht="11.25" customHeight="1">
      <c r="A1208" s="1853" t="s">
        <v>2101</v>
      </c>
      <c r="B1208" s="1853" t="s">
        <v>0</v>
      </c>
      <c r="C1208" s="1853" t="s">
        <v>2138</v>
      </c>
      <c r="D1208" s="1853" t="s">
        <v>2139</v>
      </c>
      <c r="E1208" s="1853" t="s">
        <v>2140</v>
      </c>
      <c r="F1208" s="1853" t="s">
        <v>2141</v>
      </c>
      <c r="G1208" s="1853" t="s">
        <v>1</v>
      </c>
      <c r="H1208" s="1853" t="s">
        <v>1</v>
      </c>
      <c r="I1208" s="1853" t="s">
        <v>739</v>
      </c>
    </row>
    <row r="1209" spans="1:9" ht="11.25" customHeight="1">
      <c r="A1209" s="1853" t="s">
        <v>2101</v>
      </c>
      <c r="B1209" s="1853" t="s">
        <v>0</v>
      </c>
      <c r="C1209" s="1853" t="s">
        <v>2146</v>
      </c>
      <c r="D1209" s="1853" t="s">
        <v>2147</v>
      </c>
      <c r="E1209" s="1853" t="s">
        <v>2148</v>
      </c>
      <c r="F1209" s="1853" t="s">
        <v>2149</v>
      </c>
      <c r="G1209" s="1853" t="s">
        <v>1</v>
      </c>
      <c r="H1209" s="1853" t="s">
        <v>1</v>
      </c>
      <c r="I1209" s="1853" t="s">
        <v>739</v>
      </c>
    </row>
    <row r="1210" spans="1:9" ht="11.25" customHeight="1">
      <c r="A1210" s="1853" t="s">
        <v>2101</v>
      </c>
      <c r="B1210" s="1853" t="s">
        <v>0</v>
      </c>
      <c r="C1210" s="1853" t="s">
        <v>2156</v>
      </c>
      <c r="D1210" s="1853" t="s">
        <v>2157</v>
      </c>
      <c r="E1210" s="1853" t="s">
        <v>2158</v>
      </c>
      <c r="F1210" s="1853" t="s">
        <v>2159</v>
      </c>
      <c r="G1210" s="1853" t="s">
        <v>2160</v>
      </c>
      <c r="H1210" s="1853" t="s">
        <v>1</v>
      </c>
      <c r="I1210" s="1853" t="s">
        <v>739</v>
      </c>
    </row>
    <row r="1211" spans="1:9" ht="11.25" customHeight="1">
      <c r="A1211" s="1853" t="s">
        <v>2101</v>
      </c>
      <c r="B1211" s="1853" t="s">
        <v>0</v>
      </c>
      <c r="C1211" s="1853" t="s">
        <v>2164</v>
      </c>
      <c r="D1211" s="1853" t="s">
        <v>2165</v>
      </c>
      <c r="E1211" s="1853" t="s">
        <v>2166</v>
      </c>
      <c r="F1211" s="1853" t="s">
        <v>2105</v>
      </c>
      <c r="G1211" s="1853" t="s">
        <v>1</v>
      </c>
      <c r="H1211" s="1853" t="s">
        <v>1</v>
      </c>
      <c r="I1211" s="1853" t="s">
        <v>739</v>
      </c>
    </row>
    <row r="1212" spans="1:9" ht="11.25" customHeight="1">
      <c r="A1212" s="1853" t="s">
        <v>2101</v>
      </c>
      <c r="B1212" s="1853" t="s">
        <v>0</v>
      </c>
      <c r="C1212" s="1853" t="s">
        <v>2179</v>
      </c>
      <c r="D1212" s="1853" t="s">
        <v>2180</v>
      </c>
      <c r="E1212" s="1853" t="s">
        <v>2181</v>
      </c>
      <c r="F1212" s="1853" t="s">
        <v>2182</v>
      </c>
      <c r="G1212" s="1853" t="s">
        <v>2183</v>
      </c>
      <c r="H1212" s="1853" t="s">
        <v>1</v>
      </c>
      <c r="I1212" s="1853" t="s">
        <v>739</v>
      </c>
    </row>
    <row r="1213" spans="1:9" ht="11.25" customHeight="1">
      <c r="A1213" s="1853" t="s">
        <v>2101</v>
      </c>
      <c r="B1213" s="1853" t="s">
        <v>0</v>
      </c>
      <c r="C1213" s="1853" t="s">
        <v>4199</v>
      </c>
      <c r="D1213" s="1853" t="s">
        <v>4200</v>
      </c>
      <c r="E1213" s="1853" t="s">
        <v>4201</v>
      </c>
      <c r="F1213" s="1853" t="s">
        <v>2416</v>
      </c>
      <c r="G1213" s="1853" t="s">
        <v>1</v>
      </c>
      <c r="H1213" s="1853" t="s">
        <v>1</v>
      </c>
      <c r="I1213" s="1853" t="s">
        <v>739</v>
      </c>
    </row>
    <row r="1214" spans="1:9" ht="11.25" customHeight="1">
      <c r="A1214" s="1853" t="s">
        <v>2101</v>
      </c>
      <c r="B1214" s="1853" t="s">
        <v>0</v>
      </c>
      <c r="C1214" s="1853" t="s">
        <v>4202</v>
      </c>
      <c r="D1214" s="1853" t="s">
        <v>4203</v>
      </c>
      <c r="E1214" s="1853" t="s">
        <v>4204</v>
      </c>
      <c r="F1214" s="1853" t="s">
        <v>4205</v>
      </c>
      <c r="G1214" s="1853" t="s">
        <v>4206</v>
      </c>
      <c r="H1214" s="1853" t="s">
        <v>1</v>
      </c>
      <c r="I1214" s="1853" t="s">
        <v>739</v>
      </c>
    </row>
    <row r="1215" spans="1:9" ht="11.25" customHeight="1">
      <c r="A1215" s="1853" t="s">
        <v>2101</v>
      </c>
      <c r="B1215" s="1853" t="s">
        <v>0</v>
      </c>
      <c r="C1215" s="1853" t="s">
        <v>2213</v>
      </c>
      <c r="D1215" s="1853" t="s">
        <v>2214</v>
      </c>
      <c r="E1215" s="1853" t="s">
        <v>2215</v>
      </c>
      <c r="F1215" s="1853" t="s">
        <v>2141</v>
      </c>
      <c r="G1215" s="1853" t="s">
        <v>1</v>
      </c>
      <c r="H1215" s="1853" t="s">
        <v>1</v>
      </c>
      <c r="I1215" s="1853" t="s">
        <v>739</v>
      </c>
    </row>
    <row r="1216" spans="1:9" ht="11.25" customHeight="1">
      <c r="A1216" s="1853" t="s">
        <v>2101</v>
      </c>
      <c r="B1216" s="1853" t="s">
        <v>0</v>
      </c>
      <c r="C1216" s="1853" t="s">
        <v>2223</v>
      </c>
      <c r="D1216" s="1853" t="s">
        <v>2224</v>
      </c>
      <c r="E1216" s="1853" t="s">
        <v>2225</v>
      </c>
      <c r="F1216" s="1853" t="s">
        <v>2178</v>
      </c>
      <c r="G1216" s="1853" t="s">
        <v>2226</v>
      </c>
      <c r="H1216" s="1853" t="s">
        <v>1</v>
      </c>
      <c r="I1216" s="1853" t="s">
        <v>739</v>
      </c>
    </row>
    <row r="1217" spans="1:9" ht="11.25" customHeight="1">
      <c r="A1217" s="1853" t="s">
        <v>2101</v>
      </c>
      <c r="B1217" s="1853" t="s">
        <v>0</v>
      </c>
      <c r="C1217" s="1853" t="s">
        <v>2227</v>
      </c>
      <c r="D1217" s="1853" t="s">
        <v>2228</v>
      </c>
      <c r="E1217" s="1853" t="s">
        <v>2229</v>
      </c>
      <c r="F1217" s="1853" t="s">
        <v>2230</v>
      </c>
      <c r="G1217" s="1853" t="s">
        <v>2231</v>
      </c>
      <c r="H1217" s="1853" t="s">
        <v>1</v>
      </c>
      <c r="I1217" s="1853" t="s">
        <v>739</v>
      </c>
    </row>
    <row r="1218" spans="1:9" ht="11.25" customHeight="1">
      <c r="A1218" s="1853" t="s">
        <v>2101</v>
      </c>
      <c r="B1218" s="1853" t="s">
        <v>0</v>
      </c>
      <c r="C1218" s="1853" t="s">
        <v>2232</v>
      </c>
      <c r="D1218" s="1853" t="s">
        <v>2233</v>
      </c>
      <c r="E1218" s="1853" t="s">
        <v>2118</v>
      </c>
      <c r="F1218" s="1853" t="s">
        <v>2234</v>
      </c>
      <c r="G1218" s="1853" t="s">
        <v>2235</v>
      </c>
      <c r="H1218" s="1853" t="s">
        <v>1</v>
      </c>
      <c r="I1218" s="1853" t="s">
        <v>739</v>
      </c>
    </row>
    <row r="1219" spans="1:9" ht="11.25" customHeight="1">
      <c r="A1219" s="1853" t="s">
        <v>2101</v>
      </c>
      <c r="B1219" s="1853" t="s">
        <v>0</v>
      </c>
      <c r="C1219" s="1853" t="s">
        <v>4207</v>
      </c>
      <c r="D1219" s="1853" t="s">
        <v>4208</v>
      </c>
      <c r="E1219" s="1853" t="s">
        <v>4209</v>
      </c>
      <c r="F1219" s="1853" t="s">
        <v>2416</v>
      </c>
      <c r="G1219" s="1853" t="s">
        <v>4210</v>
      </c>
      <c r="H1219" s="1853" t="s">
        <v>1</v>
      </c>
      <c r="I1219" s="1853" t="s">
        <v>739</v>
      </c>
    </row>
    <row r="1220" spans="1:9" ht="11.25" customHeight="1">
      <c r="A1220" s="1853" t="s">
        <v>2101</v>
      </c>
      <c r="B1220" s="1853" t="s">
        <v>0</v>
      </c>
      <c r="C1220" s="1853" t="s">
        <v>2241</v>
      </c>
      <c r="D1220" s="1853" t="s">
        <v>2242</v>
      </c>
      <c r="E1220" s="1853" t="s">
        <v>2243</v>
      </c>
      <c r="F1220" s="1853" t="s">
        <v>2239</v>
      </c>
      <c r="G1220" s="1853" t="s">
        <v>2244</v>
      </c>
      <c r="H1220" s="1853" t="s">
        <v>1</v>
      </c>
      <c r="I1220" s="1853" t="s">
        <v>739</v>
      </c>
    </row>
    <row r="1221" spans="1:9" ht="11.25" customHeight="1">
      <c r="A1221" s="1853" t="s">
        <v>2101</v>
      </c>
      <c r="B1221" s="1853" t="s">
        <v>0</v>
      </c>
      <c r="C1221" s="1853" t="s">
        <v>2249</v>
      </c>
      <c r="D1221" s="1853" t="s">
        <v>2250</v>
      </c>
      <c r="E1221" s="1853" t="s">
        <v>2247</v>
      </c>
      <c r="F1221" s="1853" t="s">
        <v>2211</v>
      </c>
      <c r="G1221" s="1853" t="s">
        <v>2251</v>
      </c>
      <c r="H1221" s="1853" t="s">
        <v>1</v>
      </c>
      <c r="I1221" s="1853" t="s">
        <v>739</v>
      </c>
    </row>
    <row r="1222" spans="1:9" ht="11.25" customHeight="1">
      <c r="A1222" s="1853" t="s">
        <v>2101</v>
      </c>
      <c r="B1222" s="1853" t="s">
        <v>0</v>
      </c>
      <c r="C1222" s="1853" t="s">
        <v>2252</v>
      </c>
      <c r="D1222" s="1853" t="s">
        <v>2253</v>
      </c>
      <c r="E1222" s="1853" t="s">
        <v>2254</v>
      </c>
      <c r="F1222" s="1853" t="s">
        <v>2255</v>
      </c>
      <c r="G1222" s="1853" t="s">
        <v>1</v>
      </c>
      <c r="H1222" s="1853" t="s">
        <v>1</v>
      </c>
      <c r="I1222" s="1853" t="s">
        <v>739</v>
      </c>
    </row>
    <row r="1223" spans="1:9" ht="11.25" customHeight="1">
      <c r="A1223" s="1853" t="s">
        <v>2101</v>
      </c>
      <c r="B1223" s="1853" t="s">
        <v>0</v>
      </c>
      <c r="C1223" s="1853" t="s">
        <v>2269</v>
      </c>
      <c r="D1223" s="1853" t="s">
        <v>2270</v>
      </c>
      <c r="E1223" s="1853" t="s">
        <v>2271</v>
      </c>
      <c r="F1223" s="1853" t="s">
        <v>2222</v>
      </c>
      <c r="G1223" s="1853" t="s">
        <v>2272</v>
      </c>
      <c r="H1223" s="1853" t="s">
        <v>1</v>
      </c>
      <c r="I1223" s="1853" t="s">
        <v>739</v>
      </c>
    </row>
    <row r="1224" spans="1:9" ht="11.25" customHeight="1">
      <c r="A1224" s="1853" t="s">
        <v>2101</v>
      </c>
      <c r="B1224" s="1853" t="s">
        <v>0</v>
      </c>
      <c r="C1224" s="1853" t="s">
        <v>2288</v>
      </c>
      <c r="D1224" s="1853" t="s">
        <v>2289</v>
      </c>
      <c r="E1224" s="1853" t="s">
        <v>2271</v>
      </c>
      <c r="F1224" s="1853" t="s">
        <v>2290</v>
      </c>
      <c r="G1224" s="1853" t="s">
        <v>1</v>
      </c>
      <c r="H1224" s="1853" t="s">
        <v>1</v>
      </c>
      <c r="I1224" s="1853" t="s">
        <v>739</v>
      </c>
    </row>
    <row r="1225" spans="1:9" ht="11.25" customHeight="1">
      <c r="A1225" s="1853" t="s">
        <v>2101</v>
      </c>
      <c r="B1225" s="1853" t="s">
        <v>0</v>
      </c>
      <c r="C1225" s="1853" t="s">
        <v>2291</v>
      </c>
      <c r="D1225" s="1853" t="s">
        <v>2292</v>
      </c>
      <c r="E1225" s="1853" t="s">
        <v>2271</v>
      </c>
      <c r="F1225" s="1853" t="s">
        <v>2293</v>
      </c>
      <c r="G1225" s="1853" t="s">
        <v>1</v>
      </c>
      <c r="H1225" s="1853" t="s">
        <v>1</v>
      </c>
      <c r="I1225" s="1853" t="s">
        <v>739</v>
      </c>
    </row>
    <row r="1226" spans="1:9" ht="11.25" customHeight="1">
      <c r="A1226" s="1853" t="s">
        <v>2101</v>
      </c>
      <c r="B1226" s="1853" t="s">
        <v>0</v>
      </c>
      <c r="C1226" s="1853" t="s">
        <v>2297</v>
      </c>
      <c r="D1226" s="1853" t="s">
        <v>2298</v>
      </c>
      <c r="E1226" s="1853" t="s">
        <v>2271</v>
      </c>
      <c r="F1226" s="1853" t="s">
        <v>2299</v>
      </c>
      <c r="G1226" s="1853" t="s">
        <v>1</v>
      </c>
      <c r="H1226" s="1853" t="s">
        <v>1</v>
      </c>
      <c r="I1226" s="1853" t="s">
        <v>739</v>
      </c>
    </row>
    <row r="1227" spans="1:9" ht="11.25" customHeight="1">
      <c r="A1227" s="1853" t="s">
        <v>2101</v>
      </c>
      <c r="B1227" s="1853" t="s">
        <v>0</v>
      </c>
      <c r="C1227" s="1853" t="s">
        <v>2312</v>
      </c>
      <c r="D1227" s="1853" t="s">
        <v>2313</v>
      </c>
      <c r="E1227" s="1853" t="s">
        <v>2314</v>
      </c>
      <c r="F1227" s="1853" t="s">
        <v>2159</v>
      </c>
      <c r="G1227" s="1853" t="s">
        <v>2315</v>
      </c>
      <c r="H1227" s="1853" t="s">
        <v>1</v>
      </c>
      <c r="I1227" s="1853" t="s">
        <v>739</v>
      </c>
    </row>
    <row r="1228" spans="1:9" ht="11.25" customHeight="1">
      <c r="A1228" s="1853" t="s">
        <v>2101</v>
      </c>
      <c r="B1228" s="1853" t="s">
        <v>0</v>
      </c>
      <c r="C1228" s="1853" t="s">
        <v>4569</v>
      </c>
      <c r="D1228" s="1853" t="s">
        <v>4570</v>
      </c>
      <c r="E1228" s="1853" t="s">
        <v>4571</v>
      </c>
      <c r="F1228" s="1853" t="s">
        <v>2230</v>
      </c>
      <c r="G1228" s="1853" t="s">
        <v>4572</v>
      </c>
      <c r="H1228" s="1853" t="s">
        <v>1</v>
      </c>
      <c r="I1228" s="1853" t="s">
        <v>739</v>
      </c>
    </row>
    <row r="1229" spans="1:9" ht="11.25" customHeight="1">
      <c r="A1229" s="1853" t="s">
        <v>2101</v>
      </c>
      <c r="B1229" s="1853" t="s">
        <v>0</v>
      </c>
      <c r="C1229" s="1853" t="s">
        <v>4211</v>
      </c>
      <c r="D1229" s="1853" t="s">
        <v>4212</v>
      </c>
      <c r="E1229" s="1853" t="s">
        <v>4213</v>
      </c>
      <c r="F1229" s="1853" t="s">
        <v>2105</v>
      </c>
      <c r="G1229" s="1853" t="s">
        <v>4214</v>
      </c>
      <c r="H1229" s="1853" t="s">
        <v>1</v>
      </c>
      <c r="I1229" s="1853" t="s">
        <v>739</v>
      </c>
    </row>
    <row r="1230" spans="1:9" ht="11.25" customHeight="1">
      <c r="A1230" s="1853" t="s">
        <v>2101</v>
      </c>
      <c r="B1230" s="1853" t="s">
        <v>0</v>
      </c>
      <c r="C1230" s="1853" t="s">
        <v>2319</v>
      </c>
      <c r="D1230" s="1853" t="s">
        <v>2320</v>
      </c>
      <c r="E1230" s="1853" t="s">
        <v>2321</v>
      </c>
      <c r="F1230" s="1853" t="s">
        <v>2105</v>
      </c>
      <c r="G1230" s="1853" t="s">
        <v>1</v>
      </c>
      <c r="H1230" s="1853" t="s">
        <v>1</v>
      </c>
      <c r="I1230" s="1853" t="s">
        <v>739</v>
      </c>
    </row>
    <row r="1231" spans="1:9" ht="11.25" customHeight="1">
      <c r="A1231" s="1853" t="s">
        <v>2101</v>
      </c>
      <c r="B1231" s="1853" t="s">
        <v>0</v>
      </c>
      <c r="C1231" s="1853" t="s">
        <v>2322</v>
      </c>
      <c r="D1231" s="1853" t="s">
        <v>2323</v>
      </c>
      <c r="E1231" s="1853" t="s">
        <v>2324</v>
      </c>
      <c r="F1231" s="1853" t="s">
        <v>2159</v>
      </c>
      <c r="G1231" s="1853" t="s">
        <v>2325</v>
      </c>
      <c r="H1231" s="1853" t="s">
        <v>1</v>
      </c>
      <c r="I1231" s="1853" t="s">
        <v>739</v>
      </c>
    </row>
    <row r="1232" spans="1:9" ht="11.25" customHeight="1">
      <c r="A1232" s="1853" t="s">
        <v>2101</v>
      </c>
      <c r="B1232" s="1853" t="s">
        <v>0</v>
      </c>
      <c r="C1232" s="1853" t="s">
        <v>2380</v>
      </c>
      <c r="D1232" s="1853" t="s">
        <v>2381</v>
      </c>
      <c r="E1232" s="1853" t="s">
        <v>2382</v>
      </c>
      <c r="F1232" s="1853" t="s">
        <v>2383</v>
      </c>
      <c r="G1232" s="1853" t="s">
        <v>1</v>
      </c>
      <c r="H1232" s="1853" t="s">
        <v>1</v>
      </c>
      <c r="I1232" s="1853" t="s">
        <v>739</v>
      </c>
    </row>
    <row r="1233" spans="1:9" ht="11.25" customHeight="1">
      <c r="A1233" s="1853" t="s">
        <v>2101</v>
      </c>
      <c r="B1233" s="1853" t="s">
        <v>0</v>
      </c>
      <c r="C1233" s="1853" t="s">
        <v>2391</v>
      </c>
      <c r="D1233" s="1853" t="s">
        <v>2392</v>
      </c>
      <c r="E1233" s="1853" t="s">
        <v>2393</v>
      </c>
      <c r="F1233" s="1853" t="s">
        <v>2329</v>
      </c>
      <c r="G1233" s="1853" t="s">
        <v>1</v>
      </c>
      <c r="H1233" s="1853" t="s">
        <v>1</v>
      </c>
      <c r="I1233" s="1853" t="s">
        <v>739</v>
      </c>
    </row>
    <row r="1234" spans="1:9" ht="11.25" customHeight="1">
      <c r="A1234" s="1853" t="s">
        <v>2101</v>
      </c>
      <c r="B1234" s="1853" t="s">
        <v>0</v>
      </c>
      <c r="C1234" s="1853" t="s">
        <v>2394</v>
      </c>
      <c r="D1234" s="1853" t="s">
        <v>2395</v>
      </c>
      <c r="E1234" s="1853" t="s">
        <v>2396</v>
      </c>
      <c r="F1234" s="1853" t="s">
        <v>2222</v>
      </c>
      <c r="G1234" s="1853" t="s">
        <v>1</v>
      </c>
      <c r="H1234" s="1853" t="s">
        <v>1</v>
      </c>
      <c r="I1234" s="1853" t="s">
        <v>739</v>
      </c>
    </row>
    <row r="1235" spans="1:9" ht="11.25" customHeight="1">
      <c r="A1235" s="1853" t="s">
        <v>2101</v>
      </c>
      <c r="B1235" s="1853" t="s">
        <v>0</v>
      </c>
      <c r="C1235" s="1853" t="s">
        <v>2403</v>
      </c>
      <c r="D1235" s="1853" t="s">
        <v>2404</v>
      </c>
      <c r="E1235" s="1853" t="s">
        <v>2405</v>
      </c>
      <c r="F1235" s="1853" t="s">
        <v>2230</v>
      </c>
      <c r="G1235" s="1853" t="s">
        <v>2406</v>
      </c>
      <c r="H1235" s="1853" t="s">
        <v>1</v>
      </c>
      <c r="I1235" s="1853" t="s">
        <v>739</v>
      </c>
    </row>
    <row r="1236" spans="1:9" ht="11.25" customHeight="1">
      <c r="A1236" s="1853" t="s">
        <v>2101</v>
      </c>
      <c r="B1236" s="1853" t="s">
        <v>0</v>
      </c>
      <c r="C1236" s="1853" t="s">
        <v>4215</v>
      </c>
      <c r="D1236" s="1853" t="s">
        <v>4216</v>
      </c>
      <c r="E1236" s="1853" t="s">
        <v>4217</v>
      </c>
      <c r="F1236" s="1853" t="s">
        <v>2416</v>
      </c>
      <c r="G1236" s="1853" t="s">
        <v>1</v>
      </c>
      <c r="H1236" s="1853" t="s">
        <v>1</v>
      </c>
      <c r="I1236" s="1853" t="s">
        <v>739</v>
      </c>
    </row>
    <row r="1237" spans="1:9" ht="11.25" customHeight="1">
      <c r="A1237" s="1853" t="s">
        <v>2101</v>
      </c>
      <c r="B1237" s="1853" t="s">
        <v>0</v>
      </c>
      <c r="C1237" s="1853" t="s">
        <v>2421</v>
      </c>
      <c r="D1237" s="1853" t="s">
        <v>2422</v>
      </c>
      <c r="E1237" s="1853" t="s">
        <v>2423</v>
      </c>
      <c r="F1237" s="1853" t="s">
        <v>2424</v>
      </c>
      <c r="G1237" s="1853" t="s">
        <v>2425</v>
      </c>
      <c r="H1237" s="1853" t="s">
        <v>1</v>
      </c>
      <c r="I1237" s="1853" t="s">
        <v>739</v>
      </c>
    </row>
    <row r="1238" spans="1:9" ht="11.25" customHeight="1">
      <c r="A1238" s="1853" t="s">
        <v>2101</v>
      </c>
      <c r="B1238" s="1853" t="s">
        <v>0</v>
      </c>
      <c r="C1238" s="1853" t="s">
        <v>2426</v>
      </c>
      <c r="D1238" s="1853" t="s">
        <v>2427</v>
      </c>
      <c r="E1238" s="1853" t="s">
        <v>2428</v>
      </c>
      <c r="F1238" s="1853" t="s">
        <v>2230</v>
      </c>
      <c r="G1238" s="1853" t="s">
        <v>2429</v>
      </c>
      <c r="H1238" s="1853" t="s">
        <v>1</v>
      </c>
      <c r="I1238" s="1853" t="s">
        <v>739</v>
      </c>
    </row>
    <row r="1239" spans="1:9" ht="11.25" customHeight="1">
      <c r="A1239" s="1853" t="s">
        <v>2101</v>
      </c>
      <c r="B1239" s="1853" t="s">
        <v>0</v>
      </c>
      <c r="C1239" s="1853" t="s">
        <v>4573</v>
      </c>
      <c r="D1239" s="1853" t="s">
        <v>4574</v>
      </c>
      <c r="E1239" s="1853" t="s">
        <v>4575</v>
      </c>
      <c r="F1239" s="1853" t="s">
        <v>2105</v>
      </c>
      <c r="G1239" s="1853" t="s">
        <v>1</v>
      </c>
      <c r="H1239" s="1853" t="s">
        <v>1</v>
      </c>
      <c r="I1239" s="1853" t="s">
        <v>739</v>
      </c>
    </row>
    <row r="1240" spans="1:9" ht="11.25" customHeight="1">
      <c r="A1240" s="1853" t="s">
        <v>2101</v>
      </c>
      <c r="B1240" s="1853" t="s">
        <v>0</v>
      </c>
      <c r="C1240" s="1853" t="s">
        <v>2443</v>
      </c>
      <c r="D1240" s="1853" t="s">
        <v>2444</v>
      </c>
      <c r="E1240" s="1853" t="s">
        <v>2445</v>
      </c>
      <c r="F1240" s="1853" t="s">
        <v>2207</v>
      </c>
      <c r="G1240" s="1853" t="s">
        <v>2446</v>
      </c>
      <c r="H1240" s="1853" t="s">
        <v>1</v>
      </c>
      <c r="I1240" s="1853" t="s">
        <v>739</v>
      </c>
    </row>
    <row r="1241" spans="1:9" ht="11.25" customHeight="1">
      <c r="A1241" s="1853" t="s">
        <v>2101</v>
      </c>
      <c r="B1241" s="1853" t="s">
        <v>0</v>
      </c>
      <c r="C1241" s="1853" t="s">
        <v>2447</v>
      </c>
      <c r="D1241" s="1853" t="s">
        <v>2448</v>
      </c>
      <c r="E1241" s="1853" t="s">
        <v>2449</v>
      </c>
      <c r="F1241" s="1853" t="s">
        <v>2105</v>
      </c>
      <c r="G1241" s="1853" t="s">
        <v>1</v>
      </c>
      <c r="H1241" s="1853" t="s">
        <v>1</v>
      </c>
      <c r="I1241" s="1853" t="s">
        <v>739</v>
      </c>
    </row>
    <row r="1242" spans="1:9" ht="11.25" customHeight="1">
      <c r="A1242" s="1853" t="s">
        <v>2101</v>
      </c>
      <c r="B1242" s="1853" t="s">
        <v>0</v>
      </c>
      <c r="C1242" s="1853" t="s">
        <v>2457</v>
      </c>
      <c r="D1242" s="1853" t="s">
        <v>2458</v>
      </c>
      <c r="E1242" s="1853" t="s">
        <v>2459</v>
      </c>
      <c r="F1242" s="1853" t="s">
        <v>2178</v>
      </c>
      <c r="G1242" s="1853" t="s">
        <v>1</v>
      </c>
      <c r="H1242" s="1853" t="s">
        <v>1</v>
      </c>
      <c r="I1242" s="1853" t="s">
        <v>739</v>
      </c>
    </row>
    <row r="1243" spans="1:9" ht="11.25" customHeight="1">
      <c r="A1243" s="1853" t="s">
        <v>2101</v>
      </c>
      <c r="B1243" s="1853" t="s">
        <v>0</v>
      </c>
      <c r="C1243" s="1853" t="s">
        <v>2460</v>
      </c>
      <c r="D1243" s="1853" t="s">
        <v>2461</v>
      </c>
      <c r="E1243" s="1853" t="s">
        <v>2462</v>
      </c>
      <c r="F1243" s="1853" t="s">
        <v>12</v>
      </c>
      <c r="G1243" s="1853" t="s">
        <v>1</v>
      </c>
      <c r="H1243" s="1853" t="s">
        <v>1</v>
      </c>
      <c r="I1243" s="1853" t="s">
        <v>739</v>
      </c>
    </row>
    <row r="1244" spans="1:9" ht="11.25" customHeight="1">
      <c r="A1244" s="1853" t="s">
        <v>2101</v>
      </c>
      <c r="B1244" s="1853" t="s">
        <v>0</v>
      </c>
      <c r="C1244" s="1853" t="s">
        <v>2463</v>
      </c>
      <c r="D1244" s="1853" t="s">
        <v>2464</v>
      </c>
      <c r="E1244" s="1853" t="s">
        <v>2465</v>
      </c>
      <c r="F1244" s="1853" t="s">
        <v>2466</v>
      </c>
      <c r="G1244" s="1853" t="s">
        <v>2467</v>
      </c>
      <c r="H1244" s="1853" t="s">
        <v>1</v>
      </c>
      <c r="I1244" s="1853" t="s">
        <v>739</v>
      </c>
    </row>
    <row r="1245" spans="1:9" ht="11.25" customHeight="1">
      <c r="A1245" s="1853" t="s">
        <v>2101</v>
      </c>
      <c r="B1245" s="1853" t="s">
        <v>0</v>
      </c>
      <c r="C1245" s="1853" t="s">
        <v>2471</v>
      </c>
      <c r="D1245" s="1853" t="s">
        <v>2472</v>
      </c>
      <c r="E1245" s="1853" t="s">
        <v>2473</v>
      </c>
      <c r="F1245" s="1853" t="s">
        <v>2474</v>
      </c>
      <c r="G1245" s="1853" t="s">
        <v>1</v>
      </c>
      <c r="H1245" s="1853" t="s">
        <v>1</v>
      </c>
      <c r="I1245" s="1853" t="s">
        <v>739</v>
      </c>
    </row>
    <row r="1246" spans="1:9" ht="11.25" customHeight="1">
      <c r="A1246" s="1853" t="s">
        <v>2101</v>
      </c>
      <c r="B1246" s="1853" t="s">
        <v>0</v>
      </c>
      <c r="C1246" s="1853" t="s">
        <v>2475</v>
      </c>
      <c r="D1246" s="1853" t="s">
        <v>2476</v>
      </c>
      <c r="E1246" s="1853" t="s">
        <v>2473</v>
      </c>
      <c r="F1246" s="1853" t="s">
        <v>2178</v>
      </c>
      <c r="G1246" s="1853" t="s">
        <v>2325</v>
      </c>
      <c r="H1246" s="1853" t="s">
        <v>1</v>
      </c>
      <c r="I1246" s="1853" t="s">
        <v>739</v>
      </c>
    </row>
    <row r="1247" spans="1:9" ht="11.25" customHeight="1">
      <c r="A1247" s="1853" t="s">
        <v>2101</v>
      </c>
      <c r="B1247" s="1853" t="s">
        <v>0</v>
      </c>
      <c r="C1247" s="1853" t="s">
        <v>2481</v>
      </c>
      <c r="D1247" s="1853" t="s">
        <v>2482</v>
      </c>
      <c r="E1247" s="1853" t="s">
        <v>2483</v>
      </c>
      <c r="F1247" s="1853" t="s">
        <v>2141</v>
      </c>
      <c r="G1247" s="1853" t="s">
        <v>2484</v>
      </c>
      <c r="H1247" s="1853" t="s">
        <v>1</v>
      </c>
      <c r="I1247" s="1853" t="s">
        <v>739</v>
      </c>
    </row>
    <row r="1248" spans="1:9" ht="11.25" customHeight="1">
      <c r="A1248" s="1853" t="s">
        <v>2101</v>
      </c>
      <c r="B1248" s="1853" t="s">
        <v>0</v>
      </c>
      <c r="C1248" s="1853" t="s">
        <v>4576</v>
      </c>
      <c r="D1248" s="1853" t="s">
        <v>4577</v>
      </c>
      <c r="E1248" s="1853" t="s">
        <v>4578</v>
      </c>
      <c r="F1248" s="1853" t="s">
        <v>3079</v>
      </c>
      <c r="G1248" s="1853" t="s">
        <v>1</v>
      </c>
      <c r="H1248" s="1853" t="s">
        <v>1</v>
      </c>
      <c r="I1248" s="1853" t="s">
        <v>739</v>
      </c>
    </row>
    <row r="1249" spans="1:9" ht="11.25" customHeight="1">
      <c r="A1249" s="1853" t="s">
        <v>2101</v>
      </c>
      <c r="B1249" s="1853" t="s">
        <v>0</v>
      </c>
      <c r="C1249" s="1853" t="s">
        <v>4579</v>
      </c>
      <c r="D1249" s="1853" t="s">
        <v>4580</v>
      </c>
      <c r="E1249" s="1853" t="s">
        <v>4581</v>
      </c>
      <c r="F1249" s="1853" t="s">
        <v>2424</v>
      </c>
      <c r="G1249" s="1853" t="s">
        <v>1</v>
      </c>
      <c r="H1249" s="1853" t="s">
        <v>1</v>
      </c>
      <c r="I1249" s="1853" t="s">
        <v>739</v>
      </c>
    </row>
    <row r="1250" spans="1:9" ht="11.25" customHeight="1">
      <c r="A1250" s="1853" t="s">
        <v>2101</v>
      </c>
      <c r="B1250" s="1853" t="s">
        <v>0</v>
      </c>
      <c r="C1250" s="1853" t="s">
        <v>2519</v>
      </c>
      <c r="D1250" s="1853" t="s">
        <v>2520</v>
      </c>
      <c r="E1250" s="1853" t="s">
        <v>2382</v>
      </c>
      <c r="F1250" s="1853" t="s">
        <v>2521</v>
      </c>
      <c r="G1250" s="1853" t="s">
        <v>1</v>
      </c>
      <c r="H1250" s="1853" t="s">
        <v>1</v>
      </c>
      <c r="I1250" s="1853" t="s">
        <v>739</v>
      </c>
    </row>
    <row r="1251" spans="1:9" ht="11.25" customHeight="1">
      <c r="A1251" s="1853" t="s">
        <v>2101</v>
      </c>
      <c r="B1251" s="1853" t="s">
        <v>0</v>
      </c>
      <c r="C1251" s="1853" t="s">
        <v>2532</v>
      </c>
      <c r="D1251" s="1853" t="s">
        <v>2533</v>
      </c>
      <c r="E1251" s="1853" t="s">
        <v>2534</v>
      </c>
      <c r="F1251" s="1853" t="s">
        <v>2528</v>
      </c>
      <c r="G1251" s="1853" t="s">
        <v>1</v>
      </c>
      <c r="H1251" s="1853" t="s">
        <v>1</v>
      </c>
      <c r="I1251" s="1853" t="s">
        <v>739</v>
      </c>
    </row>
    <row r="1252" spans="1:9" ht="11.25" customHeight="1">
      <c r="A1252" s="1853" t="s">
        <v>2101</v>
      </c>
      <c r="B1252" s="1853" t="s">
        <v>0</v>
      </c>
      <c r="C1252" s="1853" t="s">
        <v>4582</v>
      </c>
      <c r="D1252" s="1853" t="s">
        <v>4583</v>
      </c>
      <c r="E1252" s="1853" t="s">
        <v>4584</v>
      </c>
      <c r="F1252" s="1853" t="s">
        <v>2149</v>
      </c>
      <c r="G1252" s="1853" t="s">
        <v>4585</v>
      </c>
      <c r="H1252" s="1853" t="s">
        <v>1</v>
      </c>
      <c r="I1252" s="1853" t="s">
        <v>739</v>
      </c>
    </row>
    <row r="1253" spans="1:9" ht="11.25" customHeight="1">
      <c r="A1253" s="1853" t="s">
        <v>2101</v>
      </c>
      <c r="B1253" s="1853" t="s">
        <v>0</v>
      </c>
      <c r="C1253" s="1853" t="s">
        <v>2538</v>
      </c>
      <c r="D1253" s="1853" t="s">
        <v>2539</v>
      </c>
      <c r="E1253" s="1853" t="s">
        <v>2540</v>
      </c>
      <c r="F1253" s="1853" t="s">
        <v>2230</v>
      </c>
      <c r="G1253" s="1853" t="s">
        <v>1</v>
      </c>
      <c r="H1253" s="1853" t="s">
        <v>1</v>
      </c>
      <c r="I1253" s="1853" t="s">
        <v>739</v>
      </c>
    </row>
    <row r="1254" spans="1:9" ht="11.25" customHeight="1">
      <c r="A1254" s="1853" t="s">
        <v>2101</v>
      </c>
      <c r="B1254" s="1853" t="s">
        <v>0</v>
      </c>
      <c r="C1254" s="1853" t="s">
        <v>2541</v>
      </c>
      <c r="D1254" s="1853" t="s">
        <v>2542</v>
      </c>
      <c r="E1254" s="1853" t="s">
        <v>2543</v>
      </c>
      <c r="F1254" s="1853" t="s">
        <v>2105</v>
      </c>
      <c r="G1254" s="1853" t="s">
        <v>2544</v>
      </c>
      <c r="H1254" s="1853" t="s">
        <v>1</v>
      </c>
      <c r="I1254" s="1853" t="s">
        <v>739</v>
      </c>
    </row>
    <row r="1255" spans="1:9" ht="11.25" customHeight="1">
      <c r="A1255" s="1853" t="s">
        <v>2101</v>
      </c>
      <c r="B1255" s="1853" t="s">
        <v>0</v>
      </c>
      <c r="C1255" s="1853" t="s">
        <v>2552</v>
      </c>
      <c r="D1255" s="1853" t="s">
        <v>2553</v>
      </c>
      <c r="E1255" s="1853" t="s">
        <v>2554</v>
      </c>
      <c r="F1255" s="1853" t="s">
        <v>2132</v>
      </c>
      <c r="G1255" s="1853" t="s">
        <v>1</v>
      </c>
      <c r="H1255" s="1853" t="s">
        <v>1</v>
      </c>
      <c r="I1255" s="1853" t="s">
        <v>739</v>
      </c>
    </row>
    <row r="1256" spans="1:9" ht="11.25" customHeight="1">
      <c r="A1256" s="1853" t="s">
        <v>2101</v>
      </c>
      <c r="B1256" s="1853" t="s">
        <v>0</v>
      </c>
      <c r="C1256" s="1853" t="s">
        <v>2569</v>
      </c>
      <c r="D1256" s="1853" t="s">
        <v>2570</v>
      </c>
      <c r="E1256" s="1853" t="s">
        <v>2571</v>
      </c>
      <c r="F1256" s="1853" t="s">
        <v>2572</v>
      </c>
      <c r="G1256" s="1853" t="s">
        <v>2573</v>
      </c>
      <c r="H1256" s="1853" t="s">
        <v>1</v>
      </c>
      <c r="I1256" s="1853" t="s">
        <v>739</v>
      </c>
    </row>
    <row r="1257" spans="1:9" ht="11.25" customHeight="1">
      <c r="A1257" s="1853" t="s">
        <v>2101</v>
      </c>
      <c r="B1257" s="1853" t="s">
        <v>0</v>
      </c>
      <c r="C1257" s="1853" t="s">
        <v>2590</v>
      </c>
      <c r="D1257" s="1853" t="s">
        <v>2591</v>
      </c>
      <c r="E1257" s="1853" t="s">
        <v>2592</v>
      </c>
      <c r="F1257" s="1853" t="s">
        <v>2149</v>
      </c>
      <c r="G1257" s="1853" t="s">
        <v>1</v>
      </c>
      <c r="H1257" s="1853" t="s">
        <v>1</v>
      </c>
      <c r="I1257" s="1853" t="s">
        <v>739</v>
      </c>
    </row>
    <row r="1258" spans="1:9" ht="11.25" customHeight="1">
      <c r="A1258" s="1853" t="s">
        <v>2101</v>
      </c>
      <c r="B1258" s="1853" t="s">
        <v>0</v>
      </c>
      <c r="C1258" s="1853" t="s">
        <v>4228</v>
      </c>
      <c r="D1258" s="1853" t="s">
        <v>4229</v>
      </c>
      <c r="E1258" s="1853" t="s">
        <v>4230</v>
      </c>
      <c r="F1258" s="1853" t="s">
        <v>12</v>
      </c>
      <c r="G1258" s="1853" t="s">
        <v>4231</v>
      </c>
      <c r="H1258" s="1853" t="s">
        <v>1</v>
      </c>
      <c r="I1258" s="1853" t="s">
        <v>739</v>
      </c>
    </row>
    <row r="1259" spans="1:9" ht="11.25" customHeight="1">
      <c r="A1259" s="1853" t="s">
        <v>2101</v>
      </c>
      <c r="B1259" s="1853" t="s">
        <v>0</v>
      </c>
      <c r="C1259" s="1853" t="s">
        <v>4586</v>
      </c>
      <c r="D1259" s="1853" t="s">
        <v>4587</v>
      </c>
      <c r="E1259" s="1853" t="s">
        <v>4588</v>
      </c>
      <c r="F1259" s="1853" t="s">
        <v>3490</v>
      </c>
      <c r="G1259" s="1853" t="s">
        <v>1</v>
      </c>
      <c r="H1259" s="1853" t="s">
        <v>1</v>
      </c>
      <c r="I1259" s="1853" t="s">
        <v>739</v>
      </c>
    </row>
    <row r="1260" spans="1:9" ht="11.25" customHeight="1">
      <c r="A1260" s="1853" t="s">
        <v>2101</v>
      </c>
      <c r="B1260" s="1853" t="s">
        <v>0</v>
      </c>
      <c r="C1260" s="1853" t="s">
        <v>2610</v>
      </c>
      <c r="D1260" s="1853" t="s">
        <v>2611</v>
      </c>
      <c r="E1260" s="1853" t="s">
        <v>2612</v>
      </c>
      <c r="F1260" s="1853" t="s">
        <v>2613</v>
      </c>
      <c r="G1260" s="1853" t="s">
        <v>1</v>
      </c>
      <c r="H1260" s="1853" t="s">
        <v>1</v>
      </c>
      <c r="I1260" s="1853" t="s">
        <v>739</v>
      </c>
    </row>
    <row r="1261" spans="1:9" ht="11.25" customHeight="1">
      <c r="A1261" s="1853" t="s">
        <v>2101</v>
      </c>
      <c r="B1261" s="1853" t="s">
        <v>0</v>
      </c>
      <c r="C1261" s="1853" t="s">
        <v>2617</v>
      </c>
      <c r="D1261" s="1853" t="s">
        <v>2618</v>
      </c>
      <c r="E1261" s="1853" t="s">
        <v>2619</v>
      </c>
      <c r="F1261" s="1853" t="s">
        <v>2222</v>
      </c>
      <c r="G1261" s="1853" t="s">
        <v>2620</v>
      </c>
      <c r="H1261" s="1853" t="s">
        <v>1</v>
      </c>
      <c r="I1261" s="1853" t="s">
        <v>739</v>
      </c>
    </row>
    <row r="1262" spans="1:9" ht="11.25" customHeight="1">
      <c r="A1262" s="1853" t="s">
        <v>2101</v>
      </c>
      <c r="B1262" s="1853" t="s">
        <v>0</v>
      </c>
      <c r="C1262" s="1853" t="s">
        <v>4589</v>
      </c>
      <c r="D1262" s="1853" t="s">
        <v>4590</v>
      </c>
      <c r="E1262" s="1853" t="s">
        <v>4591</v>
      </c>
      <c r="F1262" s="1853" t="s">
        <v>2105</v>
      </c>
      <c r="G1262" s="1853" t="s">
        <v>1</v>
      </c>
      <c r="H1262" s="1853" t="s">
        <v>1</v>
      </c>
      <c r="I1262" s="1853" t="s">
        <v>739</v>
      </c>
    </row>
    <row r="1263" spans="1:9" ht="11.25" customHeight="1">
      <c r="A1263" s="1853" t="s">
        <v>2101</v>
      </c>
      <c r="B1263" s="1853" t="s">
        <v>0</v>
      </c>
      <c r="C1263" s="1853" t="s">
        <v>4242</v>
      </c>
      <c r="D1263" s="1853" t="s">
        <v>4243</v>
      </c>
      <c r="E1263" s="1853" t="s">
        <v>4244</v>
      </c>
      <c r="F1263" s="1853" t="s">
        <v>3087</v>
      </c>
      <c r="G1263" s="1853" t="s">
        <v>1</v>
      </c>
      <c r="H1263" s="1853" t="s">
        <v>1</v>
      </c>
      <c r="I1263" s="1853" t="s">
        <v>739</v>
      </c>
    </row>
    <row r="1264" spans="1:9" ht="11.25" customHeight="1">
      <c r="A1264" s="1853" t="s">
        <v>2101</v>
      </c>
      <c r="B1264" s="1853" t="s">
        <v>0</v>
      </c>
      <c r="C1264" s="1853" t="s">
        <v>4248</v>
      </c>
      <c r="D1264" s="1853" t="s">
        <v>4249</v>
      </c>
      <c r="E1264" s="1853" t="s">
        <v>4250</v>
      </c>
      <c r="F1264" s="1853" t="s">
        <v>2196</v>
      </c>
      <c r="G1264" s="1853" t="s">
        <v>1</v>
      </c>
      <c r="H1264" s="1853" t="s">
        <v>1</v>
      </c>
      <c r="I1264" s="1853" t="s">
        <v>739</v>
      </c>
    </row>
    <row r="1265" spans="1:9" ht="11.25" customHeight="1">
      <c r="A1265" s="1853" t="s">
        <v>2101</v>
      </c>
      <c r="B1265" s="1853" t="s">
        <v>0</v>
      </c>
      <c r="C1265" s="1853" t="s">
        <v>4592</v>
      </c>
      <c r="D1265" s="1853" t="s">
        <v>4593</v>
      </c>
      <c r="E1265" s="1853" t="s">
        <v>4594</v>
      </c>
      <c r="F1265" s="1853" t="s">
        <v>2187</v>
      </c>
      <c r="G1265" s="1853" t="s">
        <v>1</v>
      </c>
      <c r="H1265" s="1853" t="s">
        <v>1</v>
      </c>
      <c r="I1265" s="1853" t="s">
        <v>739</v>
      </c>
    </row>
    <row r="1266" spans="1:9" ht="11.25" customHeight="1">
      <c r="A1266" s="1853" t="s">
        <v>2101</v>
      </c>
      <c r="B1266" s="1853" t="s">
        <v>0</v>
      </c>
      <c r="C1266" s="1853" t="s">
        <v>4251</v>
      </c>
      <c r="D1266" s="1853" t="s">
        <v>4252</v>
      </c>
      <c r="E1266" s="1853" t="s">
        <v>4253</v>
      </c>
      <c r="F1266" s="1853" t="s">
        <v>2196</v>
      </c>
      <c r="G1266" s="1853" t="s">
        <v>1</v>
      </c>
      <c r="H1266" s="1853" t="s">
        <v>1</v>
      </c>
      <c r="I1266" s="1853" t="s">
        <v>739</v>
      </c>
    </row>
    <row r="1267" spans="1:9" ht="11.25" customHeight="1">
      <c r="A1267" s="1853" t="s">
        <v>2101</v>
      </c>
      <c r="B1267" s="1853" t="s">
        <v>0</v>
      </c>
      <c r="C1267" s="1853" t="s">
        <v>4595</v>
      </c>
      <c r="D1267" s="1853" t="s">
        <v>4596</v>
      </c>
      <c r="E1267" s="1853" t="s">
        <v>4597</v>
      </c>
      <c r="F1267" s="1853" t="s">
        <v>2708</v>
      </c>
      <c r="G1267" s="1853" t="s">
        <v>1</v>
      </c>
      <c r="H1267" s="1853" t="s">
        <v>1</v>
      </c>
      <c r="I1267" s="1853" t="s">
        <v>739</v>
      </c>
    </row>
    <row r="1268" spans="1:9" ht="11.25" customHeight="1">
      <c r="A1268" s="1853" t="s">
        <v>2101</v>
      </c>
      <c r="B1268" s="1853" t="s">
        <v>0</v>
      </c>
      <c r="C1268" s="1853" t="s">
        <v>4598</v>
      </c>
      <c r="D1268" s="1853" t="s">
        <v>4599</v>
      </c>
      <c r="E1268" s="1853" t="s">
        <v>4600</v>
      </c>
      <c r="F1268" s="1853" t="s">
        <v>2708</v>
      </c>
      <c r="G1268" s="1853" t="s">
        <v>1</v>
      </c>
      <c r="H1268" s="1853" t="s">
        <v>1</v>
      </c>
      <c r="I1268" s="1853" t="s">
        <v>739</v>
      </c>
    </row>
    <row r="1269" spans="1:9" ht="11.25" customHeight="1">
      <c r="A1269" s="1853" t="s">
        <v>2101</v>
      </c>
      <c r="B1269" s="1853" t="s">
        <v>0</v>
      </c>
      <c r="C1269" s="1853" t="s">
        <v>2690</v>
      </c>
      <c r="D1269" s="1853" t="s">
        <v>2691</v>
      </c>
      <c r="E1269" s="1853" t="s">
        <v>2692</v>
      </c>
      <c r="F1269" s="1853" t="s">
        <v>2141</v>
      </c>
      <c r="G1269" s="1853" t="s">
        <v>1</v>
      </c>
      <c r="H1269" s="1853" t="s">
        <v>1</v>
      </c>
      <c r="I1269" s="1853" t="s">
        <v>739</v>
      </c>
    </row>
    <row r="1270" spans="1:9" ht="11.25" customHeight="1">
      <c r="A1270" s="1853" t="s">
        <v>2101</v>
      </c>
      <c r="B1270" s="1853" t="s">
        <v>0</v>
      </c>
      <c r="C1270" s="1853" t="s">
        <v>4257</v>
      </c>
      <c r="D1270" s="1853" t="s">
        <v>4258</v>
      </c>
      <c r="E1270" s="1853" t="s">
        <v>4259</v>
      </c>
      <c r="F1270" s="1853" t="s">
        <v>2528</v>
      </c>
      <c r="G1270" s="1853" t="s">
        <v>1</v>
      </c>
      <c r="H1270" s="1853" t="s">
        <v>1</v>
      </c>
      <c r="I1270" s="1853" t="s">
        <v>739</v>
      </c>
    </row>
    <row r="1271" spans="1:9" ht="11.25" customHeight="1">
      <c r="A1271" s="1853" t="s">
        <v>2101</v>
      </c>
      <c r="B1271" s="1853" t="s">
        <v>0</v>
      </c>
      <c r="C1271" s="1853" t="s">
        <v>4260</v>
      </c>
      <c r="D1271" s="1853" t="s">
        <v>4261</v>
      </c>
      <c r="E1271" s="1853" t="s">
        <v>4262</v>
      </c>
      <c r="F1271" s="1853" t="s">
        <v>2191</v>
      </c>
      <c r="G1271" s="1853" t="s">
        <v>1</v>
      </c>
      <c r="H1271" s="1853" t="s">
        <v>1</v>
      </c>
      <c r="I1271" s="1853" t="s">
        <v>739</v>
      </c>
    </row>
    <row r="1272" spans="1:9" ht="11.25" customHeight="1">
      <c r="A1272" s="1853" t="s">
        <v>2101</v>
      </c>
      <c r="B1272" s="1853" t="s">
        <v>0</v>
      </c>
      <c r="C1272" s="1853" t="s">
        <v>2699</v>
      </c>
      <c r="D1272" s="1853" t="s">
        <v>2700</v>
      </c>
      <c r="E1272" s="1853" t="s">
        <v>2701</v>
      </c>
      <c r="F1272" s="1853" t="s">
        <v>2141</v>
      </c>
      <c r="G1272" s="1853" t="s">
        <v>1</v>
      </c>
      <c r="H1272" s="1853" t="s">
        <v>1</v>
      </c>
      <c r="I1272" s="1853" t="s">
        <v>739</v>
      </c>
    </row>
    <row r="1273" spans="1:9" ht="11.25" customHeight="1">
      <c r="A1273" s="1853" t="s">
        <v>2101</v>
      </c>
      <c r="B1273" s="1853" t="s">
        <v>0</v>
      </c>
      <c r="C1273" s="1853" t="s">
        <v>2702</v>
      </c>
      <c r="D1273" s="1853" t="s">
        <v>2703</v>
      </c>
      <c r="E1273" s="1853" t="s">
        <v>2704</v>
      </c>
      <c r="F1273" s="1853" t="s">
        <v>2141</v>
      </c>
      <c r="G1273" s="1853" t="s">
        <v>1</v>
      </c>
      <c r="H1273" s="1853" t="s">
        <v>1</v>
      </c>
      <c r="I1273" s="1853" t="s">
        <v>739</v>
      </c>
    </row>
    <row r="1274" spans="1:9" ht="11.25" customHeight="1">
      <c r="A1274" s="1853" t="s">
        <v>2101</v>
      </c>
      <c r="B1274" s="1853" t="s">
        <v>0</v>
      </c>
      <c r="C1274" s="1853" t="s">
        <v>4263</v>
      </c>
      <c r="D1274" s="1853" t="s">
        <v>4264</v>
      </c>
      <c r="E1274" s="1853" t="s">
        <v>4265</v>
      </c>
      <c r="F1274" s="1853" t="s">
        <v>2141</v>
      </c>
      <c r="G1274" s="1853" t="s">
        <v>1</v>
      </c>
      <c r="H1274" s="1853" t="s">
        <v>1</v>
      </c>
      <c r="I1274" s="1853" t="s">
        <v>739</v>
      </c>
    </row>
    <row r="1275" spans="1:9" ht="11.25" customHeight="1">
      <c r="A1275" s="1853" t="s">
        <v>2101</v>
      </c>
      <c r="B1275" s="1853" t="s">
        <v>0</v>
      </c>
      <c r="C1275" s="1853" t="s">
        <v>4266</v>
      </c>
      <c r="D1275" s="1853" t="s">
        <v>4267</v>
      </c>
      <c r="E1275" s="1853" t="s">
        <v>4268</v>
      </c>
      <c r="F1275" s="1853" t="s">
        <v>2191</v>
      </c>
      <c r="G1275" s="1853" t="s">
        <v>1</v>
      </c>
      <c r="H1275" s="1853" t="s">
        <v>1</v>
      </c>
      <c r="I1275" s="1853" t="s">
        <v>739</v>
      </c>
    </row>
    <row r="1276" spans="1:9" ht="11.25" customHeight="1">
      <c r="A1276" s="1853" t="s">
        <v>2101</v>
      </c>
      <c r="B1276" s="1853" t="s">
        <v>0</v>
      </c>
      <c r="C1276" s="1853" t="s">
        <v>4269</v>
      </c>
      <c r="D1276" s="1853" t="s">
        <v>4270</v>
      </c>
      <c r="E1276" s="1853" t="s">
        <v>4271</v>
      </c>
      <c r="F1276" s="1853" t="s">
        <v>2191</v>
      </c>
      <c r="G1276" s="1853" t="s">
        <v>1</v>
      </c>
      <c r="H1276" s="1853" t="s">
        <v>1</v>
      </c>
      <c r="I1276" s="1853" t="s">
        <v>739</v>
      </c>
    </row>
    <row r="1277" spans="1:9" ht="11.25" customHeight="1">
      <c r="A1277" s="1853" t="s">
        <v>2101</v>
      </c>
      <c r="B1277" s="1853" t="s">
        <v>0</v>
      </c>
      <c r="C1277" s="1853" t="s">
        <v>2718</v>
      </c>
      <c r="D1277" s="1853" t="s">
        <v>2719</v>
      </c>
      <c r="E1277" s="1853" t="s">
        <v>2720</v>
      </c>
      <c r="F1277" s="1853" t="s">
        <v>2196</v>
      </c>
      <c r="G1277" s="1853" t="s">
        <v>1</v>
      </c>
      <c r="H1277" s="1853" t="s">
        <v>1</v>
      </c>
      <c r="I1277" s="1853" t="s">
        <v>739</v>
      </c>
    </row>
    <row r="1278" spans="1:9" ht="11.25" customHeight="1">
      <c r="A1278" s="1853" t="s">
        <v>2101</v>
      </c>
      <c r="B1278" s="1853" t="s">
        <v>0</v>
      </c>
      <c r="C1278" s="1853" t="s">
        <v>4272</v>
      </c>
      <c r="D1278" s="1853" t="s">
        <v>4273</v>
      </c>
      <c r="E1278" s="1853" t="s">
        <v>4274</v>
      </c>
      <c r="F1278" s="1853" t="s">
        <v>2424</v>
      </c>
      <c r="G1278" s="1853" t="s">
        <v>1</v>
      </c>
      <c r="H1278" s="1853" t="s">
        <v>1</v>
      </c>
      <c r="I1278" s="1853" t="s">
        <v>739</v>
      </c>
    </row>
    <row r="1279" spans="1:9" ht="11.25" customHeight="1">
      <c r="A1279" s="1853" t="s">
        <v>2101</v>
      </c>
      <c r="B1279" s="1853" t="s">
        <v>0</v>
      </c>
      <c r="C1279" s="1853" t="s">
        <v>2721</v>
      </c>
      <c r="D1279" s="1853" t="s">
        <v>2722</v>
      </c>
      <c r="E1279" s="1853" t="s">
        <v>2723</v>
      </c>
      <c r="F1279" s="1853" t="s">
        <v>2572</v>
      </c>
      <c r="G1279" s="1853" t="s">
        <v>2724</v>
      </c>
      <c r="H1279" s="1853" t="s">
        <v>1</v>
      </c>
      <c r="I1279" s="1853" t="s">
        <v>739</v>
      </c>
    </row>
    <row r="1280" spans="1:9" ht="11.25" customHeight="1">
      <c r="A1280" s="1853" t="s">
        <v>2101</v>
      </c>
      <c r="B1280" s="1853" t="s">
        <v>0</v>
      </c>
      <c r="C1280" s="1853" t="s">
        <v>4275</v>
      </c>
      <c r="D1280" s="1853" t="s">
        <v>4276</v>
      </c>
      <c r="E1280" s="1853" t="s">
        <v>4277</v>
      </c>
      <c r="F1280" s="1853" t="s">
        <v>2424</v>
      </c>
      <c r="G1280" s="1853" t="s">
        <v>1</v>
      </c>
      <c r="H1280" s="1853" t="s">
        <v>1</v>
      </c>
      <c r="I1280" s="1853" t="s">
        <v>739</v>
      </c>
    </row>
    <row r="1281" spans="1:9" ht="11.25" customHeight="1">
      <c r="A1281" s="1853" t="s">
        <v>2101</v>
      </c>
      <c r="B1281" s="1853" t="s">
        <v>0</v>
      </c>
      <c r="C1281" s="1853" t="s">
        <v>4278</v>
      </c>
      <c r="D1281" s="1853" t="s">
        <v>4279</v>
      </c>
      <c r="E1281" s="1853" t="s">
        <v>4280</v>
      </c>
      <c r="F1281" s="1853" t="s">
        <v>2178</v>
      </c>
      <c r="G1281" s="1853" t="s">
        <v>1</v>
      </c>
      <c r="H1281" s="1853" t="s">
        <v>1</v>
      </c>
      <c r="I1281" s="1853" t="s">
        <v>739</v>
      </c>
    </row>
    <row r="1282" spans="1:9" ht="11.25" customHeight="1">
      <c r="A1282" s="1853" t="s">
        <v>2101</v>
      </c>
      <c r="B1282" s="1853" t="s">
        <v>0</v>
      </c>
      <c r="C1282" s="1853" t="s">
        <v>2728</v>
      </c>
      <c r="D1282" s="1853" t="s">
        <v>2729</v>
      </c>
      <c r="E1282" s="1853" t="s">
        <v>2730</v>
      </c>
      <c r="F1282" s="1853" t="s">
        <v>2416</v>
      </c>
      <c r="G1282" s="1853" t="s">
        <v>1</v>
      </c>
      <c r="H1282" s="1853" t="s">
        <v>1</v>
      </c>
      <c r="I1282" s="1853" t="s">
        <v>739</v>
      </c>
    </row>
    <row r="1283" spans="1:9" ht="11.25" customHeight="1">
      <c r="A1283" s="1853" t="s">
        <v>2101</v>
      </c>
      <c r="B1283" s="1853" t="s">
        <v>0</v>
      </c>
      <c r="C1283" s="1853" t="s">
        <v>4281</v>
      </c>
      <c r="D1283" s="1853" t="s">
        <v>4282</v>
      </c>
      <c r="E1283" s="1853" t="s">
        <v>4283</v>
      </c>
      <c r="F1283" s="1853" t="s">
        <v>2187</v>
      </c>
      <c r="G1283" s="1853" t="s">
        <v>1</v>
      </c>
      <c r="H1283" s="1853" t="s">
        <v>1</v>
      </c>
      <c r="I1283" s="1853" t="s">
        <v>739</v>
      </c>
    </row>
    <row r="1284" spans="1:9" ht="11.25" customHeight="1">
      <c r="A1284" s="1853" t="s">
        <v>2101</v>
      </c>
      <c r="B1284" s="1853" t="s">
        <v>0</v>
      </c>
      <c r="C1284" s="1853" t="s">
        <v>4284</v>
      </c>
      <c r="D1284" s="1853" t="s">
        <v>4285</v>
      </c>
      <c r="E1284" s="1853" t="s">
        <v>4286</v>
      </c>
      <c r="F1284" s="1853" t="s">
        <v>3087</v>
      </c>
      <c r="G1284" s="1853" t="s">
        <v>1</v>
      </c>
      <c r="H1284" s="1853" t="s">
        <v>1</v>
      </c>
      <c r="I1284" s="1853" t="s">
        <v>739</v>
      </c>
    </row>
    <row r="1285" spans="1:9" ht="11.25" customHeight="1">
      <c r="A1285" s="1853" t="s">
        <v>2101</v>
      </c>
      <c r="B1285" s="1853" t="s">
        <v>0</v>
      </c>
      <c r="C1285" s="1853" t="s">
        <v>4290</v>
      </c>
      <c r="D1285" s="1853" t="s">
        <v>4291</v>
      </c>
      <c r="E1285" s="1853" t="s">
        <v>4292</v>
      </c>
      <c r="F1285" s="1853" t="s">
        <v>2132</v>
      </c>
      <c r="G1285" s="1853" t="s">
        <v>1</v>
      </c>
      <c r="H1285" s="1853" t="s">
        <v>1</v>
      </c>
      <c r="I1285" s="1853" t="s">
        <v>739</v>
      </c>
    </row>
    <row r="1286" spans="1:9" ht="11.25" customHeight="1">
      <c r="A1286" s="1853" t="s">
        <v>2101</v>
      </c>
      <c r="B1286" s="1853" t="s">
        <v>0</v>
      </c>
      <c r="C1286" s="1853" t="s">
        <v>4293</v>
      </c>
      <c r="D1286" s="1853" t="s">
        <v>4294</v>
      </c>
      <c r="E1286" s="1853" t="s">
        <v>4295</v>
      </c>
      <c r="F1286" s="1853" t="s">
        <v>2196</v>
      </c>
      <c r="G1286" s="1853" t="s">
        <v>1</v>
      </c>
      <c r="H1286" s="1853" t="s">
        <v>1</v>
      </c>
      <c r="I1286" s="1853" t="s">
        <v>739</v>
      </c>
    </row>
    <row r="1287" spans="1:9" ht="11.25" customHeight="1">
      <c r="A1287" s="1853" t="s">
        <v>2101</v>
      </c>
      <c r="B1287" s="1853" t="s">
        <v>0</v>
      </c>
      <c r="C1287" s="1853" t="s">
        <v>4601</v>
      </c>
      <c r="D1287" s="1853" t="s">
        <v>4602</v>
      </c>
      <c r="E1287" s="1853" t="s">
        <v>4603</v>
      </c>
      <c r="F1287" s="1853" t="s">
        <v>3087</v>
      </c>
      <c r="G1287" s="1853" t="s">
        <v>1</v>
      </c>
      <c r="H1287" s="1853" t="s">
        <v>1</v>
      </c>
      <c r="I1287" s="1853" t="s">
        <v>739</v>
      </c>
    </row>
    <row r="1288" spans="1:9" ht="11.25" customHeight="1">
      <c r="A1288" s="1853" t="s">
        <v>2101</v>
      </c>
      <c r="B1288" s="1853" t="s">
        <v>0</v>
      </c>
      <c r="C1288" s="1853" t="s">
        <v>2731</v>
      </c>
      <c r="D1288" s="1853" t="s">
        <v>2732</v>
      </c>
      <c r="E1288" s="1853" t="s">
        <v>2733</v>
      </c>
      <c r="F1288" s="1853" t="s">
        <v>2132</v>
      </c>
      <c r="G1288" s="1853" t="s">
        <v>1</v>
      </c>
      <c r="H1288" s="1853" t="s">
        <v>1</v>
      </c>
      <c r="I1288" s="1853" t="s">
        <v>739</v>
      </c>
    </row>
    <row r="1289" spans="1:9" ht="11.25" customHeight="1">
      <c r="A1289" s="1853" t="s">
        <v>2101</v>
      </c>
      <c r="B1289" s="1853" t="s">
        <v>0</v>
      </c>
      <c r="C1289" s="1853" t="s">
        <v>4604</v>
      </c>
      <c r="D1289" s="1853" t="s">
        <v>4605</v>
      </c>
      <c r="E1289" s="1853" t="s">
        <v>4606</v>
      </c>
      <c r="F1289" s="1853" t="s">
        <v>2424</v>
      </c>
      <c r="G1289" s="1853" t="s">
        <v>1</v>
      </c>
      <c r="H1289" s="1853" t="s">
        <v>1</v>
      </c>
      <c r="I1289" s="1853" t="s">
        <v>739</v>
      </c>
    </row>
    <row r="1290" spans="1:9" ht="11.25" customHeight="1">
      <c r="A1290" s="1853" t="s">
        <v>2101</v>
      </c>
      <c r="B1290" s="1853" t="s">
        <v>0</v>
      </c>
      <c r="C1290" s="1853" t="s">
        <v>4296</v>
      </c>
      <c r="D1290" s="1853" t="s">
        <v>4297</v>
      </c>
      <c r="E1290" s="1853" t="s">
        <v>4298</v>
      </c>
      <c r="F1290" s="1853" t="s">
        <v>2159</v>
      </c>
      <c r="G1290" s="1853" t="s">
        <v>1</v>
      </c>
      <c r="H1290" s="1853" t="s">
        <v>1</v>
      </c>
      <c r="I1290" s="1853" t="s">
        <v>739</v>
      </c>
    </row>
    <row r="1291" spans="1:9" ht="11.25" customHeight="1">
      <c r="A1291" s="1853" t="s">
        <v>2101</v>
      </c>
      <c r="B1291" s="1853" t="s">
        <v>0</v>
      </c>
      <c r="C1291" s="1853" t="s">
        <v>2758</v>
      </c>
      <c r="D1291" s="1853" t="s">
        <v>2759</v>
      </c>
      <c r="E1291" s="1853" t="s">
        <v>2760</v>
      </c>
      <c r="F1291" s="1853" t="s">
        <v>2528</v>
      </c>
      <c r="G1291" s="1853" t="s">
        <v>2761</v>
      </c>
      <c r="H1291" s="1853" t="s">
        <v>1</v>
      </c>
      <c r="I1291" s="1853" t="s">
        <v>739</v>
      </c>
    </row>
    <row r="1292" spans="1:9" ht="11.25" customHeight="1">
      <c r="A1292" s="1853" t="s">
        <v>2101</v>
      </c>
      <c r="B1292" s="1853" t="s">
        <v>0</v>
      </c>
      <c r="C1292" s="1853" t="s">
        <v>2778</v>
      </c>
      <c r="D1292" s="1853" t="s">
        <v>2779</v>
      </c>
      <c r="E1292" s="1853" t="s">
        <v>2780</v>
      </c>
      <c r="F1292" s="1853" t="s">
        <v>2708</v>
      </c>
      <c r="G1292" s="1853" t="s">
        <v>2781</v>
      </c>
      <c r="H1292" s="1853" t="s">
        <v>1</v>
      </c>
      <c r="I1292" s="1853" t="s">
        <v>739</v>
      </c>
    </row>
    <row r="1293" spans="1:9" ht="11.25" customHeight="1">
      <c r="A1293" s="1853" t="s">
        <v>2101</v>
      </c>
      <c r="B1293" s="1853" t="s">
        <v>0</v>
      </c>
      <c r="C1293" s="1853" t="s">
        <v>4302</v>
      </c>
      <c r="D1293" s="1853" t="s">
        <v>4303</v>
      </c>
      <c r="E1293" s="1853" t="s">
        <v>4304</v>
      </c>
      <c r="F1293" s="1853" t="s">
        <v>2239</v>
      </c>
      <c r="G1293" s="1853" t="s">
        <v>1</v>
      </c>
      <c r="H1293" s="1853" t="s">
        <v>1</v>
      </c>
      <c r="I1293" s="1853" t="s">
        <v>739</v>
      </c>
    </row>
    <row r="1294" spans="1:9" ht="11.25" customHeight="1">
      <c r="A1294" s="1853" t="s">
        <v>2101</v>
      </c>
      <c r="B1294" s="1853" t="s">
        <v>0</v>
      </c>
      <c r="C1294" s="1853" t="s">
        <v>2782</v>
      </c>
      <c r="D1294" s="1853" t="s">
        <v>2783</v>
      </c>
      <c r="E1294" s="1853" t="s">
        <v>2784</v>
      </c>
      <c r="F1294" s="1853" t="s">
        <v>2708</v>
      </c>
      <c r="G1294" s="1853" t="s">
        <v>1</v>
      </c>
      <c r="H1294" s="1853" t="s">
        <v>1</v>
      </c>
      <c r="I1294" s="1853" t="s">
        <v>739</v>
      </c>
    </row>
    <row r="1295" spans="1:9" ht="11.25" customHeight="1">
      <c r="A1295" s="1853" t="s">
        <v>2101</v>
      </c>
      <c r="B1295" s="1853" t="s">
        <v>0</v>
      </c>
      <c r="C1295" s="1853" t="s">
        <v>4305</v>
      </c>
      <c r="D1295" s="1853" t="s">
        <v>4306</v>
      </c>
      <c r="E1295" s="1853" t="s">
        <v>4307</v>
      </c>
      <c r="F1295" s="1853" t="s">
        <v>2528</v>
      </c>
      <c r="G1295" s="1853" t="s">
        <v>1</v>
      </c>
      <c r="H1295" s="1853" t="s">
        <v>1</v>
      </c>
      <c r="I1295" s="1853" t="s">
        <v>739</v>
      </c>
    </row>
    <row r="1296" spans="1:9" ht="11.25" customHeight="1">
      <c r="A1296" s="1853" t="s">
        <v>2101</v>
      </c>
      <c r="B1296" s="1853" t="s">
        <v>0</v>
      </c>
      <c r="C1296" s="1853" t="s">
        <v>4308</v>
      </c>
      <c r="D1296" s="1853" t="s">
        <v>4309</v>
      </c>
      <c r="E1296" s="1853" t="s">
        <v>4310</v>
      </c>
      <c r="F1296" s="1853" t="s">
        <v>2424</v>
      </c>
      <c r="G1296" s="1853" t="s">
        <v>1</v>
      </c>
      <c r="H1296" s="1853" t="s">
        <v>1</v>
      </c>
      <c r="I1296" s="1853" t="s">
        <v>739</v>
      </c>
    </row>
    <row r="1297" spans="1:9" ht="11.25" customHeight="1">
      <c r="A1297" s="1853" t="s">
        <v>2101</v>
      </c>
      <c r="B1297" s="1853" t="s">
        <v>0</v>
      </c>
      <c r="C1297" s="1853" t="s">
        <v>4311</v>
      </c>
      <c r="D1297" s="1853" t="s">
        <v>4312</v>
      </c>
      <c r="E1297" s="1853" t="s">
        <v>4313</v>
      </c>
      <c r="F1297" s="1853" t="s">
        <v>2741</v>
      </c>
      <c r="G1297" s="1853" t="s">
        <v>4314</v>
      </c>
      <c r="H1297" s="1853" t="s">
        <v>1</v>
      </c>
      <c r="I1297" s="1853" t="s">
        <v>739</v>
      </c>
    </row>
    <row r="1298" spans="1:9" ht="11.25" customHeight="1">
      <c r="A1298" s="1853" t="s">
        <v>2101</v>
      </c>
      <c r="B1298" s="1853" t="s">
        <v>0</v>
      </c>
      <c r="C1298" s="1853" t="s">
        <v>4315</v>
      </c>
      <c r="D1298" s="1853" t="s">
        <v>4316</v>
      </c>
      <c r="E1298" s="1853" t="s">
        <v>4317</v>
      </c>
      <c r="F1298" s="1853" t="s">
        <v>2159</v>
      </c>
      <c r="G1298" s="1853" t="s">
        <v>2925</v>
      </c>
      <c r="H1298" s="1853" t="s">
        <v>4318</v>
      </c>
      <c r="I1298" s="1853" t="s">
        <v>739</v>
      </c>
    </row>
    <row r="1299" spans="1:9" ht="11.25" customHeight="1">
      <c r="A1299" s="1853" t="s">
        <v>2101</v>
      </c>
      <c r="B1299" s="1853" t="s">
        <v>0</v>
      </c>
      <c r="C1299" s="1853" t="s">
        <v>4323</v>
      </c>
      <c r="D1299" s="1853" t="s">
        <v>4324</v>
      </c>
      <c r="E1299" s="1853" t="s">
        <v>4325</v>
      </c>
      <c r="F1299" s="1853" t="s">
        <v>3087</v>
      </c>
      <c r="G1299" s="1853" t="s">
        <v>1</v>
      </c>
      <c r="H1299" s="1853" t="s">
        <v>1</v>
      </c>
      <c r="I1299" s="1853" t="s">
        <v>739</v>
      </c>
    </row>
    <row r="1300" spans="1:9" ht="11.25" customHeight="1">
      <c r="A1300" s="1853" t="s">
        <v>2101</v>
      </c>
      <c r="B1300" s="1853" t="s">
        <v>0</v>
      </c>
      <c r="C1300" s="1853" t="s">
        <v>4326</v>
      </c>
      <c r="D1300" s="1853" t="s">
        <v>4327</v>
      </c>
      <c r="E1300" s="1853" t="s">
        <v>4328</v>
      </c>
      <c r="F1300" s="1853" t="s">
        <v>2178</v>
      </c>
      <c r="G1300" s="1853" t="s">
        <v>4329</v>
      </c>
      <c r="H1300" s="1853" t="s">
        <v>1</v>
      </c>
      <c r="I1300" s="1853" t="s">
        <v>739</v>
      </c>
    </row>
    <row r="1301" spans="1:9" ht="11.25" customHeight="1">
      <c r="A1301" s="1853" t="s">
        <v>2101</v>
      </c>
      <c r="B1301" s="1853" t="s">
        <v>0</v>
      </c>
      <c r="C1301" s="1853" t="s">
        <v>2792</v>
      </c>
      <c r="D1301" s="1853" t="s">
        <v>2793</v>
      </c>
      <c r="E1301" s="1853" t="s">
        <v>2794</v>
      </c>
      <c r="F1301" s="1853" t="s">
        <v>2191</v>
      </c>
      <c r="G1301" s="1853" t="s">
        <v>2795</v>
      </c>
      <c r="H1301" s="1853" t="s">
        <v>1</v>
      </c>
      <c r="I1301" s="1853" t="s">
        <v>739</v>
      </c>
    </row>
    <row r="1302" spans="1:9" ht="11.25" customHeight="1">
      <c r="A1302" s="1853" t="s">
        <v>2101</v>
      </c>
      <c r="B1302" s="1853" t="s">
        <v>0</v>
      </c>
      <c r="C1302" s="1853" t="s">
        <v>4330</v>
      </c>
      <c r="D1302" s="1853" t="s">
        <v>4331</v>
      </c>
      <c r="E1302" s="1853" t="s">
        <v>4332</v>
      </c>
      <c r="F1302" s="1853" t="s">
        <v>2424</v>
      </c>
      <c r="G1302" s="1853" t="s">
        <v>4333</v>
      </c>
      <c r="H1302" s="1853" t="s">
        <v>1</v>
      </c>
      <c r="I1302" s="1853" t="s">
        <v>739</v>
      </c>
    </row>
    <row r="1303" spans="1:9" ht="11.25" customHeight="1">
      <c r="A1303" s="1853" t="s">
        <v>2101</v>
      </c>
      <c r="B1303" s="1853" t="s">
        <v>0</v>
      </c>
      <c r="C1303" s="1853" t="s">
        <v>4334</v>
      </c>
      <c r="D1303" s="1853" t="s">
        <v>4335</v>
      </c>
      <c r="E1303" s="1853" t="s">
        <v>4336</v>
      </c>
      <c r="F1303" s="1853" t="s">
        <v>2187</v>
      </c>
      <c r="G1303" s="1853" t="s">
        <v>4337</v>
      </c>
      <c r="H1303" s="1853" t="s">
        <v>1</v>
      </c>
      <c r="I1303" s="1853" t="s">
        <v>739</v>
      </c>
    </row>
    <row r="1304" spans="1:9" ht="11.25" customHeight="1">
      <c r="A1304" s="1853" t="s">
        <v>2101</v>
      </c>
      <c r="B1304" s="1853" t="s">
        <v>0</v>
      </c>
      <c r="C1304" s="1853" t="s">
        <v>2799</v>
      </c>
      <c r="D1304" s="1853" t="s">
        <v>2800</v>
      </c>
      <c r="E1304" s="1853" t="s">
        <v>2801</v>
      </c>
      <c r="F1304" s="1853" t="s">
        <v>2141</v>
      </c>
      <c r="G1304" s="1853" t="s">
        <v>2802</v>
      </c>
      <c r="H1304" s="1853" t="s">
        <v>1</v>
      </c>
      <c r="I1304" s="1853" t="s">
        <v>739</v>
      </c>
    </row>
    <row r="1305" spans="1:9" ht="11.25" customHeight="1">
      <c r="A1305" s="1853" t="s">
        <v>2101</v>
      </c>
      <c r="B1305" s="1853" t="s">
        <v>0</v>
      </c>
      <c r="C1305" s="1853" t="s">
        <v>4338</v>
      </c>
      <c r="D1305" s="1853" t="s">
        <v>4339</v>
      </c>
      <c r="E1305" s="1853" t="s">
        <v>4340</v>
      </c>
      <c r="F1305" s="1853" t="s">
        <v>2745</v>
      </c>
      <c r="G1305" s="1853" t="s">
        <v>4341</v>
      </c>
      <c r="H1305" s="1853" t="s">
        <v>3224</v>
      </c>
      <c r="I1305" s="1853" t="s">
        <v>739</v>
      </c>
    </row>
    <row r="1306" spans="1:9" ht="11.25" customHeight="1">
      <c r="A1306" s="1853" t="s">
        <v>2101</v>
      </c>
      <c r="B1306" s="1853" t="s">
        <v>0</v>
      </c>
      <c r="C1306" s="1853" t="s">
        <v>2811</v>
      </c>
      <c r="D1306" s="1853" t="s">
        <v>2812</v>
      </c>
      <c r="E1306" s="1853" t="s">
        <v>2813</v>
      </c>
      <c r="F1306" s="1853" t="s">
        <v>2329</v>
      </c>
      <c r="G1306" s="1853" t="s">
        <v>2814</v>
      </c>
      <c r="H1306" s="1853" t="s">
        <v>1</v>
      </c>
      <c r="I1306" s="1853" t="s">
        <v>739</v>
      </c>
    </row>
    <row r="1307" spans="1:9" ht="11.25" customHeight="1">
      <c r="A1307" s="1853" t="s">
        <v>2101</v>
      </c>
      <c r="B1307" s="1853" t="s">
        <v>0</v>
      </c>
      <c r="C1307" s="1853" t="s">
        <v>4342</v>
      </c>
      <c r="D1307" s="1853" t="s">
        <v>4343</v>
      </c>
      <c r="E1307" s="1853" t="s">
        <v>4344</v>
      </c>
      <c r="F1307" s="1853" t="s">
        <v>2741</v>
      </c>
      <c r="G1307" s="1853" t="s">
        <v>1</v>
      </c>
      <c r="H1307" s="1853" t="s">
        <v>1</v>
      </c>
      <c r="I1307" s="1853" t="s">
        <v>739</v>
      </c>
    </row>
    <row r="1308" spans="1:9" ht="11.25" customHeight="1">
      <c r="A1308" s="1853" t="s">
        <v>2101</v>
      </c>
      <c r="B1308" s="1853" t="s">
        <v>0</v>
      </c>
      <c r="C1308" s="1853" t="s">
        <v>2818</v>
      </c>
      <c r="D1308" s="1853" t="s">
        <v>2819</v>
      </c>
      <c r="E1308" s="1853" t="s">
        <v>2820</v>
      </c>
      <c r="F1308" s="1853" t="s">
        <v>2132</v>
      </c>
      <c r="G1308" s="1853" t="s">
        <v>1</v>
      </c>
      <c r="H1308" s="1853" t="s">
        <v>1</v>
      </c>
      <c r="I1308" s="1853" t="s">
        <v>739</v>
      </c>
    </row>
    <row r="1309" spans="1:9" ht="11.25" customHeight="1">
      <c r="A1309" s="1853" t="s">
        <v>2101</v>
      </c>
      <c r="B1309" s="1853" t="s">
        <v>0</v>
      </c>
      <c r="C1309" s="1853" t="s">
        <v>2821</v>
      </c>
      <c r="D1309" s="1853" t="s">
        <v>2822</v>
      </c>
      <c r="E1309" s="1853" t="s">
        <v>2823</v>
      </c>
      <c r="F1309" s="1853" t="s">
        <v>2187</v>
      </c>
      <c r="G1309" s="1853" t="s">
        <v>1</v>
      </c>
      <c r="H1309" s="1853" t="s">
        <v>1</v>
      </c>
      <c r="I1309" s="1853" t="s">
        <v>739</v>
      </c>
    </row>
    <row r="1310" spans="1:9" ht="11.25" customHeight="1">
      <c r="A1310" s="1853" t="s">
        <v>2101</v>
      </c>
      <c r="B1310" s="1853" t="s">
        <v>0</v>
      </c>
      <c r="C1310" s="1853" t="s">
        <v>2824</v>
      </c>
      <c r="D1310" s="1853" t="s">
        <v>2825</v>
      </c>
      <c r="E1310" s="1853" t="s">
        <v>2826</v>
      </c>
      <c r="F1310" s="1853" t="s">
        <v>2187</v>
      </c>
      <c r="G1310" s="1853" t="s">
        <v>2827</v>
      </c>
      <c r="H1310" s="1853" t="s">
        <v>1</v>
      </c>
      <c r="I1310" s="1853" t="s">
        <v>739</v>
      </c>
    </row>
    <row r="1311" spans="1:9" ht="11.25" customHeight="1">
      <c r="A1311" s="1853" t="s">
        <v>2101</v>
      </c>
      <c r="B1311" s="1853" t="s">
        <v>0</v>
      </c>
      <c r="C1311" s="1853" t="s">
        <v>2828</v>
      </c>
      <c r="D1311" s="1853" t="s">
        <v>2829</v>
      </c>
      <c r="E1311" s="1853" t="s">
        <v>2830</v>
      </c>
      <c r="F1311" s="1853" t="s">
        <v>2182</v>
      </c>
      <c r="G1311" s="1853" t="s">
        <v>2831</v>
      </c>
      <c r="H1311" s="1853" t="s">
        <v>1</v>
      </c>
      <c r="I1311" s="1853" t="s">
        <v>739</v>
      </c>
    </row>
    <row r="1312" spans="1:9" ht="11.25" customHeight="1">
      <c r="A1312" s="1853" t="s">
        <v>2101</v>
      </c>
      <c r="B1312" s="1853" t="s">
        <v>0</v>
      </c>
      <c r="C1312" s="1853" t="s">
        <v>2832</v>
      </c>
      <c r="D1312" s="1853" t="s">
        <v>2833</v>
      </c>
      <c r="E1312" s="1853" t="s">
        <v>2834</v>
      </c>
      <c r="F1312" s="1853" t="s">
        <v>2528</v>
      </c>
      <c r="G1312" s="1853" t="s">
        <v>1</v>
      </c>
      <c r="H1312" s="1853" t="s">
        <v>1</v>
      </c>
      <c r="I1312" s="1853" t="s">
        <v>739</v>
      </c>
    </row>
    <row r="1313" spans="1:9" ht="11.25" customHeight="1">
      <c r="A1313" s="1853" t="s">
        <v>2101</v>
      </c>
      <c r="B1313" s="1853" t="s">
        <v>0</v>
      </c>
      <c r="C1313" s="1853" t="s">
        <v>2835</v>
      </c>
      <c r="D1313" s="1853" t="s">
        <v>2836</v>
      </c>
      <c r="E1313" s="1853" t="s">
        <v>2837</v>
      </c>
      <c r="F1313" s="1853" t="s">
        <v>2187</v>
      </c>
      <c r="G1313" s="1853" t="s">
        <v>1</v>
      </c>
      <c r="H1313" s="1853" t="s">
        <v>1</v>
      </c>
      <c r="I1313" s="1853" t="s">
        <v>739</v>
      </c>
    </row>
    <row r="1314" spans="1:9" ht="11.25" customHeight="1">
      <c r="A1314" s="1853" t="s">
        <v>2101</v>
      </c>
      <c r="B1314" s="1853" t="s">
        <v>0</v>
      </c>
      <c r="C1314" s="1853" t="s">
        <v>2847</v>
      </c>
      <c r="D1314" s="1853" t="s">
        <v>2848</v>
      </c>
      <c r="E1314" s="1853" t="s">
        <v>2849</v>
      </c>
      <c r="F1314" s="1853" t="s">
        <v>2424</v>
      </c>
      <c r="G1314" s="1853" t="s">
        <v>2850</v>
      </c>
      <c r="H1314" s="1853" t="s">
        <v>1</v>
      </c>
      <c r="I1314" s="1853" t="s">
        <v>739</v>
      </c>
    </row>
    <row r="1315" spans="1:9" ht="11.25" customHeight="1">
      <c r="A1315" s="1853" t="s">
        <v>2101</v>
      </c>
      <c r="B1315" s="1853" t="s">
        <v>0</v>
      </c>
      <c r="C1315" s="1853" t="s">
        <v>2851</v>
      </c>
      <c r="D1315" s="1853" t="s">
        <v>2852</v>
      </c>
      <c r="E1315" s="1853" t="s">
        <v>2853</v>
      </c>
      <c r="F1315" s="1853" t="s">
        <v>2416</v>
      </c>
      <c r="G1315" s="1853" t="s">
        <v>1</v>
      </c>
      <c r="H1315" s="1853" t="s">
        <v>1</v>
      </c>
      <c r="I1315" s="1853" t="s">
        <v>739</v>
      </c>
    </row>
    <row r="1316" spans="1:9" ht="11.25" customHeight="1">
      <c r="A1316" s="1853" t="s">
        <v>2101</v>
      </c>
      <c r="B1316" s="1853" t="s">
        <v>0</v>
      </c>
      <c r="C1316" s="1853" t="s">
        <v>2854</v>
      </c>
      <c r="D1316" s="1853" t="s">
        <v>2855</v>
      </c>
      <c r="E1316" s="1853" t="s">
        <v>2856</v>
      </c>
      <c r="F1316" s="1853" t="s">
        <v>2528</v>
      </c>
      <c r="G1316" s="1853" t="s">
        <v>2857</v>
      </c>
      <c r="H1316" s="1853" t="s">
        <v>1</v>
      </c>
      <c r="I1316" s="1853" t="s">
        <v>739</v>
      </c>
    </row>
    <row r="1317" spans="1:9" ht="11.25" customHeight="1">
      <c r="A1317" s="1853" t="s">
        <v>2101</v>
      </c>
      <c r="B1317" s="1853" t="s">
        <v>0</v>
      </c>
      <c r="C1317" s="1853" t="s">
        <v>2858</v>
      </c>
      <c r="D1317" s="1853" t="s">
        <v>2859</v>
      </c>
      <c r="E1317" s="1853" t="s">
        <v>2860</v>
      </c>
      <c r="F1317" s="1853" t="s">
        <v>2191</v>
      </c>
      <c r="G1317" s="1853" t="s">
        <v>2861</v>
      </c>
      <c r="H1317" s="1853" t="s">
        <v>1</v>
      </c>
      <c r="I1317" s="1853" t="s">
        <v>739</v>
      </c>
    </row>
    <row r="1318" spans="1:9" ht="11.25" customHeight="1">
      <c r="A1318" s="1853" t="s">
        <v>2101</v>
      </c>
      <c r="B1318" s="1853" t="s">
        <v>0</v>
      </c>
      <c r="C1318" s="1853" t="s">
        <v>4345</v>
      </c>
      <c r="D1318" s="1853" t="s">
        <v>4346</v>
      </c>
      <c r="E1318" s="1853" t="s">
        <v>4347</v>
      </c>
      <c r="F1318" s="1853" t="s">
        <v>2196</v>
      </c>
      <c r="G1318" s="1853" t="s">
        <v>4348</v>
      </c>
      <c r="H1318" s="1853" t="s">
        <v>1</v>
      </c>
      <c r="I1318" s="1853" t="s">
        <v>739</v>
      </c>
    </row>
    <row r="1319" spans="1:9" ht="11.25" customHeight="1">
      <c r="A1319" s="1853" t="s">
        <v>2101</v>
      </c>
      <c r="B1319" s="1853" t="s">
        <v>0</v>
      </c>
      <c r="C1319" s="1853" t="s">
        <v>4607</v>
      </c>
      <c r="D1319" s="1853" t="s">
        <v>4608</v>
      </c>
      <c r="E1319" s="1853" t="s">
        <v>4609</v>
      </c>
      <c r="F1319" s="1853" t="s">
        <v>3501</v>
      </c>
      <c r="G1319" s="1853" t="s">
        <v>2655</v>
      </c>
      <c r="H1319" s="1853" t="s">
        <v>4610</v>
      </c>
      <c r="I1319" s="1853" t="s">
        <v>739</v>
      </c>
    </row>
    <row r="1320" spans="1:9" ht="11.25" customHeight="1">
      <c r="A1320" s="1853" t="s">
        <v>2101</v>
      </c>
      <c r="B1320" s="1853" t="s">
        <v>0</v>
      </c>
      <c r="C1320" s="1853" t="s">
        <v>4349</v>
      </c>
      <c r="D1320" s="1853" t="s">
        <v>4350</v>
      </c>
      <c r="E1320" s="1853" t="s">
        <v>4351</v>
      </c>
      <c r="F1320" s="1853" t="s">
        <v>2239</v>
      </c>
      <c r="G1320" s="1853" t="s">
        <v>1</v>
      </c>
      <c r="H1320" s="1853" t="s">
        <v>1</v>
      </c>
      <c r="I1320" s="1853" t="s">
        <v>739</v>
      </c>
    </row>
    <row r="1321" spans="1:9" ht="11.25" customHeight="1">
      <c r="A1321" s="1853" t="s">
        <v>2101</v>
      </c>
      <c r="B1321" s="1853" t="s">
        <v>0</v>
      </c>
      <c r="C1321" s="1853" t="s">
        <v>2865</v>
      </c>
      <c r="D1321" s="1853" t="s">
        <v>2866</v>
      </c>
      <c r="E1321" s="1853" t="s">
        <v>2867</v>
      </c>
      <c r="F1321" s="1853" t="s">
        <v>2708</v>
      </c>
      <c r="G1321" s="1853" t="s">
        <v>1</v>
      </c>
      <c r="H1321" s="1853" t="s">
        <v>1</v>
      </c>
      <c r="I1321" s="1853" t="s">
        <v>739</v>
      </c>
    </row>
    <row r="1322" spans="1:9" ht="11.25" customHeight="1">
      <c r="A1322" s="1853" t="s">
        <v>2101</v>
      </c>
      <c r="B1322" s="1853" t="s">
        <v>0</v>
      </c>
      <c r="C1322" s="1853" t="s">
        <v>4352</v>
      </c>
      <c r="D1322" s="1853" t="s">
        <v>4353</v>
      </c>
      <c r="E1322" s="1853" t="s">
        <v>4354</v>
      </c>
      <c r="F1322" s="1853" t="s">
        <v>2141</v>
      </c>
      <c r="G1322" s="1853" t="s">
        <v>4355</v>
      </c>
      <c r="H1322" s="1853" t="s">
        <v>1</v>
      </c>
      <c r="I1322" s="1853" t="s">
        <v>739</v>
      </c>
    </row>
    <row r="1323" spans="1:9" ht="11.25" customHeight="1">
      <c r="A1323" s="1853" t="s">
        <v>2101</v>
      </c>
      <c r="B1323" s="1853" t="s">
        <v>0</v>
      </c>
      <c r="C1323" s="1853" t="s">
        <v>4356</v>
      </c>
      <c r="D1323" s="1853" t="s">
        <v>4357</v>
      </c>
      <c r="E1323" s="1853" t="s">
        <v>4358</v>
      </c>
      <c r="F1323" s="1853" t="s">
        <v>2600</v>
      </c>
      <c r="G1323" s="1853" t="s">
        <v>1</v>
      </c>
      <c r="H1323" s="1853" t="s">
        <v>1</v>
      </c>
      <c r="I1323" s="1853" t="s">
        <v>739</v>
      </c>
    </row>
    <row r="1324" spans="1:9" ht="11.25" customHeight="1">
      <c r="A1324" s="1853" t="s">
        <v>2101</v>
      </c>
      <c r="B1324" s="1853" t="s">
        <v>0</v>
      </c>
      <c r="C1324" s="1853" t="s">
        <v>2876</v>
      </c>
      <c r="D1324" s="1853" t="s">
        <v>2877</v>
      </c>
      <c r="E1324" s="1853" t="s">
        <v>2878</v>
      </c>
      <c r="F1324" s="1853" t="s">
        <v>2191</v>
      </c>
      <c r="G1324" s="1853" t="s">
        <v>2879</v>
      </c>
      <c r="H1324" s="1853" t="s">
        <v>1</v>
      </c>
      <c r="I1324" s="1853" t="s">
        <v>739</v>
      </c>
    </row>
    <row r="1325" spans="1:9" ht="11.25" customHeight="1">
      <c r="A1325" s="1853" t="s">
        <v>2101</v>
      </c>
      <c r="B1325" s="1853" t="s">
        <v>0</v>
      </c>
      <c r="C1325" s="1853" t="s">
        <v>2884</v>
      </c>
      <c r="D1325" s="1853" t="s">
        <v>2885</v>
      </c>
      <c r="E1325" s="1853" t="s">
        <v>2886</v>
      </c>
      <c r="F1325" s="1853" t="s">
        <v>2141</v>
      </c>
      <c r="G1325" s="1853" t="s">
        <v>2887</v>
      </c>
      <c r="H1325" s="1853" t="s">
        <v>1</v>
      </c>
      <c r="I1325" s="1853" t="s">
        <v>739</v>
      </c>
    </row>
    <row r="1326" spans="1:9" ht="11.25" customHeight="1">
      <c r="A1326" s="1853" t="s">
        <v>2101</v>
      </c>
      <c r="B1326" s="1853" t="s">
        <v>0</v>
      </c>
      <c r="C1326" s="1853" t="s">
        <v>2892</v>
      </c>
      <c r="D1326" s="1853" t="s">
        <v>2893</v>
      </c>
      <c r="E1326" s="1853" t="s">
        <v>2894</v>
      </c>
      <c r="F1326" s="1853" t="s">
        <v>2132</v>
      </c>
      <c r="G1326" s="1853" t="s">
        <v>2846</v>
      </c>
      <c r="H1326" s="1853" t="s">
        <v>1</v>
      </c>
      <c r="I1326" s="1853" t="s">
        <v>739</v>
      </c>
    </row>
    <row r="1327" spans="1:9" ht="11.25" customHeight="1">
      <c r="A1327" s="1853" t="s">
        <v>2101</v>
      </c>
      <c r="B1327" s="1853" t="s">
        <v>0</v>
      </c>
      <c r="C1327" s="1853" t="s">
        <v>2895</v>
      </c>
      <c r="D1327" s="1853" t="s">
        <v>2896</v>
      </c>
      <c r="E1327" s="1853" t="s">
        <v>2897</v>
      </c>
      <c r="F1327" s="1853" t="s">
        <v>2132</v>
      </c>
      <c r="G1327" s="1853" t="s">
        <v>2898</v>
      </c>
      <c r="H1327" s="1853" t="s">
        <v>1</v>
      </c>
      <c r="I1327" s="1853" t="s">
        <v>739</v>
      </c>
    </row>
    <row r="1328" spans="1:9" ht="11.25" customHeight="1">
      <c r="A1328" s="1853" t="s">
        <v>2101</v>
      </c>
      <c r="B1328" s="1853" t="s">
        <v>0</v>
      </c>
      <c r="C1328" s="1853" t="s">
        <v>2899</v>
      </c>
      <c r="D1328" s="1853" t="s">
        <v>2900</v>
      </c>
      <c r="E1328" s="1853" t="s">
        <v>2901</v>
      </c>
      <c r="F1328" s="1853" t="s">
        <v>2141</v>
      </c>
      <c r="G1328" s="1853" t="s">
        <v>1</v>
      </c>
      <c r="H1328" s="1853" t="s">
        <v>1</v>
      </c>
      <c r="I1328" s="1853" t="s">
        <v>739</v>
      </c>
    </row>
    <row r="1329" spans="1:9" ht="11.25" customHeight="1">
      <c r="A1329" s="1853" t="s">
        <v>2101</v>
      </c>
      <c r="B1329" s="1853" t="s">
        <v>0</v>
      </c>
      <c r="C1329" s="1853" t="s">
        <v>4359</v>
      </c>
      <c r="D1329" s="1853" t="s">
        <v>4360</v>
      </c>
      <c r="E1329" s="1853" t="s">
        <v>4361</v>
      </c>
      <c r="F1329" s="1853" t="s">
        <v>2424</v>
      </c>
      <c r="G1329" s="1853" t="s">
        <v>4362</v>
      </c>
      <c r="H1329" s="1853" t="s">
        <v>4363</v>
      </c>
      <c r="I1329" s="1853" t="s">
        <v>739</v>
      </c>
    </row>
    <row r="1330" spans="1:9" ht="11.25" customHeight="1">
      <c r="A1330" s="1853" t="s">
        <v>2101</v>
      </c>
      <c r="B1330" s="1853" t="s">
        <v>0</v>
      </c>
      <c r="C1330" s="1853" t="s">
        <v>2902</v>
      </c>
      <c r="D1330" s="1853" t="s">
        <v>2903</v>
      </c>
      <c r="E1330" s="1853" t="s">
        <v>2904</v>
      </c>
      <c r="F1330" s="1853" t="s">
        <v>2191</v>
      </c>
      <c r="G1330" s="1853" t="s">
        <v>2905</v>
      </c>
      <c r="H1330" s="1853" t="s">
        <v>1</v>
      </c>
      <c r="I1330" s="1853" t="s">
        <v>739</v>
      </c>
    </row>
    <row r="1331" spans="1:9" ht="11.25" customHeight="1">
      <c r="A1331" s="1853" t="s">
        <v>2101</v>
      </c>
      <c r="B1331" s="1853" t="s">
        <v>0</v>
      </c>
      <c r="C1331" s="1853" t="s">
        <v>2906</v>
      </c>
      <c r="D1331" s="1853" t="s">
        <v>2907</v>
      </c>
      <c r="E1331" s="1853" t="s">
        <v>2908</v>
      </c>
      <c r="F1331" s="1853" t="s">
        <v>2187</v>
      </c>
      <c r="G1331" s="1853" t="s">
        <v>2909</v>
      </c>
      <c r="H1331" s="1853" t="s">
        <v>1</v>
      </c>
      <c r="I1331" s="1853" t="s">
        <v>739</v>
      </c>
    </row>
    <row r="1332" spans="1:9" ht="11.25" customHeight="1">
      <c r="A1332" s="1853" t="s">
        <v>2101</v>
      </c>
      <c r="B1332" s="1853" t="s">
        <v>0</v>
      </c>
      <c r="C1332" s="1853" t="s">
        <v>2914</v>
      </c>
      <c r="D1332" s="1853" t="s">
        <v>2915</v>
      </c>
      <c r="E1332" s="1853" t="s">
        <v>2916</v>
      </c>
      <c r="F1332" s="1853" t="s">
        <v>2741</v>
      </c>
      <c r="G1332" s="1853" t="s">
        <v>1</v>
      </c>
      <c r="H1332" s="1853" t="s">
        <v>2917</v>
      </c>
      <c r="I1332" s="1853" t="s">
        <v>739</v>
      </c>
    </row>
    <row r="1333" spans="1:9" ht="11.25" customHeight="1">
      <c r="A1333" s="1853" t="s">
        <v>2101</v>
      </c>
      <c r="B1333" s="1853" t="s">
        <v>0</v>
      </c>
      <c r="C1333" s="1853" t="s">
        <v>2929</v>
      </c>
      <c r="D1333" s="1853" t="s">
        <v>2930</v>
      </c>
      <c r="E1333" s="1853" t="s">
        <v>2931</v>
      </c>
      <c r="F1333" s="1853" t="s">
        <v>2239</v>
      </c>
      <c r="G1333" s="1853" t="s">
        <v>2932</v>
      </c>
      <c r="H1333" s="1853" t="s">
        <v>1</v>
      </c>
      <c r="I1333" s="1853" t="s">
        <v>739</v>
      </c>
    </row>
    <row r="1334" spans="1:9" ht="11.25" customHeight="1">
      <c r="A1334" s="1853" t="s">
        <v>2101</v>
      </c>
      <c r="B1334" s="1853" t="s">
        <v>0</v>
      </c>
      <c r="C1334" s="1853" t="s">
        <v>2933</v>
      </c>
      <c r="D1334" s="1853" t="s">
        <v>2934</v>
      </c>
      <c r="E1334" s="1853" t="s">
        <v>2935</v>
      </c>
      <c r="F1334" s="1853" t="s">
        <v>2936</v>
      </c>
      <c r="G1334" s="1853" t="s">
        <v>2937</v>
      </c>
      <c r="H1334" s="1853" t="s">
        <v>1</v>
      </c>
      <c r="I1334" s="1853" t="s">
        <v>739</v>
      </c>
    </row>
    <row r="1335" spans="1:9" ht="11.25" customHeight="1">
      <c r="A1335" s="1853" t="s">
        <v>2101</v>
      </c>
      <c r="B1335" s="1853" t="s">
        <v>0</v>
      </c>
      <c r="C1335" s="1853" t="s">
        <v>2941</v>
      </c>
      <c r="D1335" s="1853" t="s">
        <v>2942</v>
      </c>
      <c r="E1335" s="1853" t="s">
        <v>2943</v>
      </c>
      <c r="F1335" s="1853" t="s">
        <v>2191</v>
      </c>
      <c r="G1335" s="1853" t="s">
        <v>2944</v>
      </c>
      <c r="H1335" s="1853" t="s">
        <v>1</v>
      </c>
      <c r="I1335" s="1853" t="s">
        <v>739</v>
      </c>
    </row>
    <row r="1336" spans="1:9" ht="11.25" customHeight="1">
      <c r="A1336" s="1853" t="s">
        <v>2101</v>
      </c>
      <c r="B1336" s="1853" t="s">
        <v>0</v>
      </c>
      <c r="C1336" s="1853" t="s">
        <v>2945</v>
      </c>
      <c r="D1336" s="1853" t="s">
        <v>2946</v>
      </c>
      <c r="E1336" s="1853" t="s">
        <v>2947</v>
      </c>
      <c r="F1336" s="1853" t="s">
        <v>2187</v>
      </c>
      <c r="G1336" s="1853" t="s">
        <v>2948</v>
      </c>
      <c r="H1336" s="1853" t="s">
        <v>1</v>
      </c>
      <c r="I1336" s="1853" t="s">
        <v>739</v>
      </c>
    </row>
    <row r="1337" spans="1:9" ht="11.25" customHeight="1">
      <c r="A1337" s="1853" t="s">
        <v>2101</v>
      </c>
      <c r="B1337" s="1853" t="s">
        <v>0</v>
      </c>
      <c r="C1337" s="1853" t="s">
        <v>2949</v>
      </c>
      <c r="D1337" s="1853" t="s">
        <v>2950</v>
      </c>
      <c r="E1337" s="1853" t="s">
        <v>2951</v>
      </c>
      <c r="F1337" s="1853" t="s">
        <v>2187</v>
      </c>
      <c r="G1337" s="1853" t="s">
        <v>2952</v>
      </c>
      <c r="H1337" s="1853" t="s">
        <v>1</v>
      </c>
      <c r="I1337" s="1853" t="s">
        <v>739</v>
      </c>
    </row>
    <row r="1338" spans="1:9" ht="11.25" customHeight="1">
      <c r="A1338" s="1853" t="s">
        <v>2101</v>
      </c>
      <c r="B1338" s="1853" t="s">
        <v>0</v>
      </c>
      <c r="C1338" s="1853" t="s">
        <v>4364</v>
      </c>
      <c r="D1338" s="1853" t="s">
        <v>4365</v>
      </c>
      <c r="E1338" s="1853" t="s">
        <v>4366</v>
      </c>
      <c r="F1338" s="1853" t="s">
        <v>2196</v>
      </c>
      <c r="G1338" s="1853" t="s">
        <v>1</v>
      </c>
      <c r="H1338" s="1853" t="s">
        <v>1</v>
      </c>
      <c r="I1338" s="1853" t="s">
        <v>739</v>
      </c>
    </row>
    <row r="1339" spans="1:9" ht="11.25" customHeight="1">
      <c r="A1339" s="1853" t="s">
        <v>2101</v>
      </c>
      <c r="B1339" s="1853" t="s">
        <v>0</v>
      </c>
      <c r="C1339" s="1853" t="s">
        <v>4367</v>
      </c>
      <c r="D1339" s="1853" t="s">
        <v>4368</v>
      </c>
      <c r="E1339" s="1853" t="s">
        <v>4369</v>
      </c>
      <c r="F1339" s="1853" t="s">
        <v>2230</v>
      </c>
      <c r="G1339" s="1853" t="s">
        <v>1</v>
      </c>
      <c r="H1339" s="1853" t="s">
        <v>1</v>
      </c>
      <c r="I1339" s="1853" t="s">
        <v>739</v>
      </c>
    </row>
    <row r="1340" spans="1:9" ht="11.25" customHeight="1">
      <c r="A1340" s="1853" t="s">
        <v>2101</v>
      </c>
      <c r="B1340" s="1853" t="s">
        <v>0</v>
      </c>
      <c r="C1340" s="1853" t="s">
        <v>4370</v>
      </c>
      <c r="D1340" s="1853" t="s">
        <v>4371</v>
      </c>
      <c r="E1340" s="1853" t="s">
        <v>4372</v>
      </c>
      <c r="F1340" s="1853" t="s">
        <v>2329</v>
      </c>
      <c r="G1340" s="1853" t="s">
        <v>4373</v>
      </c>
      <c r="H1340" s="1853" t="s">
        <v>1</v>
      </c>
      <c r="I1340" s="1853" t="s">
        <v>739</v>
      </c>
    </row>
    <row r="1341" spans="1:9" ht="11.25" customHeight="1">
      <c r="A1341" s="1853" t="s">
        <v>2101</v>
      </c>
      <c r="B1341" s="1853" t="s">
        <v>0</v>
      </c>
      <c r="C1341" s="1853" t="s">
        <v>2976</v>
      </c>
      <c r="D1341" s="1853" t="s">
        <v>2977</v>
      </c>
      <c r="E1341" s="1853" t="s">
        <v>2978</v>
      </c>
      <c r="F1341" s="1853" t="s">
        <v>2196</v>
      </c>
      <c r="G1341" s="1853" t="s">
        <v>2979</v>
      </c>
      <c r="H1341" s="1853" t="s">
        <v>1</v>
      </c>
      <c r="I1341" s="1853" t="s">
        <v>739</v>
      </c>
    </row>
    <row r="1342" spans="1:9" ht="11.25" customHeight="1">
      <c r="A1342" s="1853" t="s">
        <v>2101</v>
      </c>
      <c r="B1342" s="1853" t="s">
        <v>0</v>
      </c>
      <c r="C1342" s="1853" t="s">
        <v>4374</v>
      </c>
      <c r="D1342" s="1853" t="s">
        <v>4375</v>
      </c>
      <c r="E1342" s="1853" t="s">
        <v>4376</v>
      </c>
      <c r="F1342" s="1853" t="s">
        <v>2196</v>
      </c>
      <c r="G1342" s="1853" t="s">
        <v>1</v>
      </c>
      <c r="H1342" s="1853" t="s">
        <v>1</v>
      </c>
      <c r="I1342" s="1853" t="s">
        <v>739</v>
      </c>
    </row>
    <row r="1343" spans="1:9" ht="11.25" customHeight="1">
      <c r="A1343" s="1853" t="s">
        <v>2101</v>
      </c>
      <c r="B1343" s="1853" t="s">
        <v>0</v>
      </c>
      <c r="C1343" s="1853" t="s">
        <v>4377</v>
      </c>
      <c r="D1343" s="1853" t="s">
        <v>4378</v>
      </c>
      <c r="E1343" s="1853" t="s">
        <v>4379</v>
      </c>
      <c r="F1343" s="1853" t="s">
        <v>2990</v>
      </c>
      <c r="G1343" s="1853" t="s">
        <v>1</v>
      </c>
      <c r="H1343" s="1853" t="s">
        <v>4380</v>
      </c>
      <c r="I1343" s="1853" t="s">
        <v>739</v>
      </c>
    </row>
    <row r="1344" spans="1:9" ht="11.25" customHeight="1">
      <c r="A1344" s="1853" t="s">
        <v>2101</v>
      </c>
      <c r="B1344" s="1853" t="s">
        <v>0</v>
      </c>
      <c r="C1344" s="1853" t="s">
        <v>4381</v>
      </c>
      <c r="D1344" s="1853" t="s">
        <v>4382</v>
      </c>
      <c r="E1344" s="1853" t="s">
        <v>4383</v>
      </c>
      <c r="F1344" s="1853" t="s">
        <v>3619</v>
      </c>
      <c r="G1344" s="1853" t="s">
        <v>4384</v>
      </c>
      <c r="H1344" s="1853" t="s">
        <v>1</v>
      </c>
      <c r="I1344" s="1853" t="s">
        <v>739</v>
      </c>
    </row>
    <row r="1345" spans="1:9" ht="11.25" customHeight="1">
      <c r="A1345" s="1853" t="s">
        <v>2101</v>
      </c>
      <c r="B1345" s="1853" t="s">
        <v>0</v>
      </c>
      <c r="C1345" s="1853" t="s">
        <v>2994</v>
      </c>
      <c r="D1345" s="1853" t="s">
        <v>2995</v>
      </c>
      <c r="E1345" s="1853" t="s">
        <v>2996</v>
      </c>
      <c r="F1345" s="1853" t="s">
        <v>2230</v>
      </c>
      <c r="G1345" s="1853" t="s">
        <v>2857</v>
      </c>
      <c r="H1345" s="1853" t="s">
        <v>2997</v>
      </c>
      <c r="I1345" s="1853" t="s">
        <v>739</v>
      </c>
    </row>
    <row r="1346" spans="1:9" ht="11.25" customHeight="1">
      <c r="A1346" s="1853" t="s">
        <v>2101</v>
      </c>
      <c r="B1346" s="1853" t="s">
        <v>0</v>
      </c>
      <c r="C1346" s="1853" t="s">
        <v>4385</v>
      </c>
      <c r="D1346" s="1853" t="s">
        <v>4386</v>
      </c>
      <c r="E1346" s="1853" t="s">
        <v>4387</v>
      </c>
      <c r="F1346" s="1853" t="s">
        <v>4388</v>
      </c>
      <c r="G1346" s="1853" t="s">
        <v>1</v>
      </c>
      <c r="H1346" s="1853" t="s">
        <v>1</v>
      </c>
      <c r="I1346" s="1853" t="s">
        <v>739</v>
      </c>
    </row>
    <row r="1347" spans="1:9" ht="11.25" customHeight="1">
      <c r="A1347" s="1853" t="s">
        <v>2101</v>
      </c>
      <c r="B1347" s="1853" t="s">
        <v>0</v>
      </c>
      <c r="C1347" s="1853" t="s">
        <v>3012</v>
      </c>
      <c r="D1347" s="1853" t="s">
        <v>3013</v>
      </c>
      <c r="E1347" s="1853" t="s">
        <v>3014</v>
      </c>
      <c r="F1347" s="1853" t="s">
        <v>2424</v>
      </c>
      <c r="G1347" s="1853" t="s">
        <v>3015</v>
      </c>
      <c r="H1347" s="1853" t="s">
        <v>1</v>
      </c>
      <c r="I1347" s="1853" t="s">
        <v>739</v>
      </c>
    </row>
    <row r="1348" spans="1:9" ht="11.25" customHeight="1">
      <c r="A1348" s="1853" t="s">
        <v>2101</v>
      </c>
      <c r="B1348" s="1853" t="s">
        <v>0</v>
      </c>
      <c r="C1348" s="1853" t="s">
        <v>3020</v>
      </c>
      <c r="D1348" s="1853" t="s">
        <v>3021</v>
      </c>
      <c r="E1348" s="1853" t="s">
        <v>3022</v>
      </c>
      <c r="F1348" s="1853" t="s">
        <v>2159</v>
      </c>
      <c r="G1348" s="1853" t="s">
        <v>3023</v>
      </c>
      <c r="H1348" s="1853" t="s">
        <v>1</v>
      </c>
      <c r="I1348" s="1853" t="s">
        <v>739</v>
      </c>
    </row>
    <row r="1349" spans="1:9" ht="11.25" customHeight="1">
      <c r="A1349" s="1853" t="s">
        <v>2101</v>
      </c>
      <c r="B1349" s="1853" t="s">
        <v>0</v>
      </c>
      <c r="C1349" s="1853" t="s">
        <v>4393</v>
      </c>
      <c r="D1349" s="1853" t="s">
        <v>4394</v>
      </c>
      <c r="E1349" s="1853" t="s">
        <v>4395</v>
      </c>
      <c r="F1349" s="1853" t="s">
        <v>2424</v>
      </c>
      <c r="G1349" s="1853" t="s">
        <v>4396</v>
      </c>
      <c r="H1349" s="1853" t="s">
        <v>1</v>
      </c>
      <c r="I1349" s="1853" t="s">
        <v>739</v>
      </c>
    </row>
    <row r="1350" spans="1:9" ht="11.25" customHeight="1">
      <c r="A1350" s="1853" t="s">
        <v>2101</v>
      </c>
      <c r="B1350" s="1853" t="s">
        <v>0</v>
      </c>
      <c r="C1350" s="1853" t="s">
        <v>4397</v>
      </c>
      <c r="D1350" s="1853" t="s">
        <v>4398</v>
      </c>
      <c r="E1350" s="1853" t="s">
        <v>4399</v>
      </c>
      <c r="F1350" s="1853" t="s">
        <v>2708</v>
      </c>
      <c r="G1350" s="1853" t="s">
        <v>4400</v>
      </c>
      <c r="H1350" s="1853" t="s">
        <v>1</v>
      </c>
      <c r="I1350" s="1853" t="s">
        <v>739</v>
      </c>
    </row>
    <row r="1351" spans="1:9" ht="11.25" customHeight="1">
      <c r="A1351" s="1853" t="s">
        <v>2101</v>
      </c>
      <c r="B1351" s="1853" t="s">
        <v>0</v>
      </c>
      <c r="C1351" s="1853" t="s">
        <v>4401</v>
      </c>
      <c r="D1351" s="1853" t="s">
        <v>4402</v>
      </c>
      <c r="E1351" s="1853" t="s">
        <v>4403</v>
      </c>
      <c r="F1351" s="1853" t="s">
        <v>2132</v>
      </c>
      <c r="G1351" s="1853" t="s">
        <v>1</v>
      </c>
      <c r="H1351" s="1853" t="s">
        <v>1</v>
      </c>
      <c r="I1351" s="1853" t="s">
        <v>739</v>
      </c>
    </row>
    <row r="1352" spans="1:9" ht="11.25" customHeight="1">
      <c r="A1352" s="1853" t="s">
        <v>2101</v>
      </c>
      <c r="B1352" s="1853" t="s">
        <v>0</v>
      </c>
      <c r="C1352" s="1853" t="s">
        <v>3028</v>
      </c>
      <c r="D1352" s="1853" t="s">
        <v>3029</v>
      </c>
      <c r="E1352" s="1853" t="s">
        <v>3030</v>
      </c>
      <c r="F1352" s="1853" t="s">
        <v>2141</v>
      </c>
      <c r="G1352" s="1853" t="s">
        <v>1</v>
      </c>
      <c r="H1352" s="1853" t="s">
        <v>1</v>
      </c>
      <c r="I1352" s="1853" t="s">
        <v>739</v>
      </c>
    </row>
    <row r="1353" spans="1:9" ht="11.25" customHeight="1">
      <c r="A1353" s="1853" t="s">
        <v>2101</v>
      </c>
      <c r="B1353" s="1853" t="s">
        <v>0</v>
      </c>
      <c r="C1353" s="1853" t="s">
        <v>3034</v>
      </c>
      <c r="D1353" s="1853" t="s">
        <v>3035</v>
      </c>
      <c r="E1353" s="1853" t="s">
        <v>3036</v>
      </c>
      <c r="F1353" s="1853" t="s">
        <v>2105</v>
      </c>
      <c r="G1353" s="1853" t="s">
        <v>3037</v>
      </c>
      <c r="H1353" s="1853" t="s">
        <v>1</v>
      </c>
      <c r="I1353" s="1853" t="s">
        <v>739</v>
      </c>
    </row>
    <row r="1354" spans="1:9" ht="11.25" customHeight="1">
      <c r="A1354" s="1853" t="s">
        <v>2101</v>
      </c>
      <c r="B1354" s="1853" t="s">
        <v>0</v>
      </c>
      <c r="C1354" s="1853" t="s">
        <v>3038</v>
      </c>
      <c r="D1354" s="1853" t="s">
        <v>3039</v>
      </c>
      <c r="E1354" s="1853" t="s">
        <v>3040</v>
      </c>
      <c r="F1354" s="1853" t="s">
        <v>2141</v>
      </c>
      <c r="G1354" s="1853" t="s">
        <v>3041</v>
      </c>
      <c r="H1354" s="1853" t="s">
        <v>1</v>
      </c>
      <c r="I1354" s="1853" t="s">
        <v>739</v>
      </c>
    </row>
    <row r="1355" spans="1:9" ht="11.25" customHeight="1">
      <c r="A1355" s="1853" t="s">
        <v>2101</v>
      </c>
      <c r="B1355" s="1853" t="s">
        <v>0</v>
      </c>
      <c r="C1355" s="1853" t="s">
        <v>3042</v>
      </c>
      <c r="D1355" s="1853" t="s">
        <v>3043</v>
      </c>
      <c r="E1355" s="1853" t="s">
        <v>3044</v>
      </c>
      <c r="F1355" s="1853" t="s">
        <v>2105</v>
      </c>
      <c r="G1355" s="1853" t="s">
        <v>3045</v>
      </c>
      <c r="H1355" s="1853" t="s">
        <v>1</v>
      </c>
      <c r="I1355" s="1853" t="s">
        <v>739</v>
      </c>
    </row>
    <row r="1356" spans="1:9" ht="11.25" customHeight="1">
      <c r="A1356" s="1853" t="s">
        <v>2101</v>
      </c>
      <c r="B1356" s="1853" t="s">
        <v>0</v>
      </c>
      <c r="C1356" s="1853" t="s">
        <v>4404</v>
      </c>
      <c r="D1356" s="1853" t="s">
        <v>4405</v>
      </c>
      <c r="E1356" s="1853" t="s">
        <v>4406</v>
      </c>
      <c r="F1356" s="1853" t="s">
        <v>3883</v>
      </c>
      <c r="G1356" s="1853" t="s">
        <v>1</v>
      </c>
      <c r="H1356" s="1853" t="s">
        <v>1</v>
      </c>
      <c r="I1356" s="1853" t="s">
        <v>739</v>
      </c>
    </row>
    <row r="1357" spans="1:9" ht="11.25" customHeight="1">
      <c r="A1357" s="1853" t="s">
        <v>2101</v>
      </c>
      <c r="B1357" s="1853" t="s">
        <v>0</v>
      </c>
      <c r="C1357" s="1853" t="s">
        <v>3064</v>
      </c>
      <c r="D1357" s="1853" t="s">
        <v>3065</v>
      </c>
      <c r="E1357" s="1853" t="s">
        <v>3066</v>
      </c>
      <c r="F1357" s="1853" t="s">
        <v>2105</v>
      </c>
      <c r="G1357" s="1853" t="s">
        <v>3067</v>
      </c>
      <c r="H1357" s="1853" t="s">
        <v>1</v>
      </c>
      <c r="I1357" s="1853" t="s">
        <v>739</v>
      </c>
    </row>
    <row r="1358" spans="1:9" ht="11.25" customHeight="1">
      <c r="A1358" s="1853" t="s">
        <v>2101</v>
      </c>
      <c r="B1358" s="1853" t="s">
        <v>0</v>
      </c>
      <c r="C1358" s="1853" t="s">
        <v>3068</v>
      </c>
      <c r="D1358" s="1853" t="s">
        <v>3069</v>
      </c>
      <c r="E1358" s="1853" t="s">
        <v>3070</v>
      </c>
      <c r="F1358" s="1853" t="s">
        <v>2187</v>
      </c>
      <c r="G1358" s="1853" t="s">
        <v>3071</v>
      </c>
      <c r="H1358" s="1853" t="s">
        <v>1</v>
      </c>
      <c r="I1358" s="1853" t="s">
        <v>739</v>
      </c>
    </row>
    <row r="1359" spans="1:9" ht="11.25" customHeight="1">
      <c r="A1359" s="1853" t="s">
        <v>2101</v>
      </c>
      <c r="B1359" s="1853" t="s">
        <v>0</v>
      </c>
      <c r="C1359" s="1853" t="s">
        <v>3076</v>
      </c>
      <c r="D1359" s="1853" t="s">
        <v>3077</v>
      </c>
      <c r="E1359" s="1853" t="s">
        <v>3078</v>
      </c>
      <c r="F1359" s="1853" t="s">
        <v>3079</v>
      </c>
      <c r="G1359" s="1853" t="s">
        <v>3080</v>
      </c>
      <c r="H1359" s="1853" t="s">
        <v>1</v>
      </c>
      <c r="I1359" s="1853" t="s">
        <v>739</v>
      </c>
    </row>
    <row r="1360" spans="1:9" ht="11.25" customHeight="1">
      <c r="A1360" s="1853" t="s">
        <v>2101</v>
      </c>
      <c r="B1360" s="1853" t="s">
        <v>0</v>
      </c>
      <c r="C1360" s="1853" t="s">
        <v>3081</v>
      </c>
      <c r="D1360" s="1853" t="s">
        <v>3082</v>
      </c>
      <c r="E1360" s="1853" t="s">
        <v>3083</v>
      </c>
      <c r="F1360" s="1853" t="s">
        <v>2741</v>
      </c>
      <c r="G1360" s="1853" t="s">
        <v>1</v>
      </c>
      <c r="H1360" s="1853" t="s">
        <v>1</v>
      </c>
      <c r="I1360" s="1853" t="s">
        <v>739</v>
      </c>
    </row>
    <row r="1361" spans="1:9" ht="11.25" customHeight="1">
      <c r="A1361" s="1853" t="s">
        <v>2101</v>
      </c>
      <c r="B1361" s="1853" t="s">
        <v>0</v>
      </c>
      <c r="C1361" s="1853" t="s">
        <v>4407</v>
      </c>
      <c r="D1361" s="1853" t="s">
        <v>4408</v>
      </c>
      <c r="E1361" s="1853" t="s">
        <v>4409</v>
      </c>
      <c r="F1361" s="1853" t="s">
        <v>2416</v>
      </c>
      <c r="G1361" s="1853" t="s">
        <v>1</v>
      </c>
      <c r="H1361" s="1853" t="s">
        <v>4410</v>
      </c>
      <c r="I1361" s="1853" t="s">
        <v>739</v>
      </c>
    </row>
    <row r="1362" spans="1:9" ht="11.25" customHeight="1">
      <c r="A1362" s="1853" t="s">
        <v>2101</v>
      </c>
      <c r="B1362" s="1853" t="s">
        <v>0</v>
      </c>
      <c r="C1362" s="1853" t="s">
        <v>3089</v>
      </c>
      <c r="D1362" s="1853" t="s">
        <v>3090</v>
      </c>
      <c r="E1362" s="1853" t="s">
        <v>3091</v>
      </c>
      <c r="F1362" s="1853" t="s">
        <v>2141</v>
      </c>
      <c r="G1362" s="1853" t="s">
        <v>1</v>
      </c>
      <c r="H1362" s="1853" t="s">
        <v>1</v>
      </c>
      <c r="I1362" s="1853" t="s">
        <v>739</v>
      </c>
    </row>
    <row r="1363" spans="1:9" ht="11.25" customHeight="1">
      <c r="A1363" s="1853" t="s">
        <v>2101</v>
      </c>
      <c r="B1363" s="1853" t="s">
        <v>0</v>
      </c>
      <c r="C1363" s="1853" t="s">
        <v>3100</v>
      </c>
      <c r="D1363" s="1853" t="s">
        <v>3101</v>
      </c>
      <c r="E1363" s="1853" t="s">
        <v>3102</v>
      </c>
      <c r="F1363" s="1853" t="s">
        <v>2141</v>
      </c>
      <c r="G1363" s="1853" t="s">
        <v>1</v>
      </c>
      <c r="H1363" s="1853" t="s">
        <v>1</v>
      </c>
      <c r="I1363" s="1853" t="s">
        <v>739</v>
      </c>
    </row>
    <row r="1364" spans="1:9" ht="11.25" customHeight="1">
      <c r="A1364" s="1853" t="s">
        <v>2101</v>
      </c>
      <c r="B1364" s="1853" t="s">
        <v>0</v>
      </c>
      <c r="C1364" s="1853" t="s">
        <v>3103</v>
      </c>
      <c r="D1364" s="1853" t="s">
        <v>3104</v>
      </c>
      <c r="E1364" s="1853" t="s">
        <v>3105</v>
      </c>
      <c r="F1364" s="1853" t="s">
        <v>3106</v>
      </c>
      <c r="G1364" s="1853" t="s">
        <v>1</v>
      </c>
      <c r="H1364" s="1853" t="s">
        <v>1</v>
      </c>
      <c r="I1364" s="1853" t="s">
        <v>739</v>
      </c>
    </row>
    <row r="1365" spans="1:9" ht="11.25" customHeight="1">
      <c r="A1365" s="1853" t="s">
        <v>2101</v>
      </c>
      <c r="B1365" s="1853" t="s">
        <v>0</v>
      </c>
      <c r="C1365" s="1853" t="s">
        <v>4411</v>
      </c>
      <c r="D1365" s="1853" t="s">
        <v>4412</v>
      </c>
      <c r="E1365" s="1853" t="s">
        <v>4413</v>
      </c>
      <c r="F1365" s="1853" t="s">
        <v>2105</v>
      </c>
      <c r="G1365" s="1853" t="s">
        <v>1</v>
      </c>
      <c r="H1365" s="1853" t="s">
        <v>1</v>
      </c>
      <c r="I1365" s="1853" t="s">
        <v>739</v>
      </c>
    </row>
    <row r="1366" spans="1:9" ht="11.25" customHeight="1">
      <c r="A1366" s="1853" t="s">
        <v>2101</v>
      </c>
      <c r="B1366" s="1853" t="s">
        <v>0</v>
      </c>
      <c r="C1366" s="1853" t="s">
        <v>4611</v>
      </c>
      <c r="D1366" s="1853" t="s">
        <v>4612</v>
      </c>
      <c r="E1366" s="1853" t="s">
        <v>4613</v>
      </c>
      <c r="F1366" s="1853" t="s">
        <v>2182</v>
      </c>
      <c r="G1366" s="1853" t="s">
        <v>1</v>
      </c>
      <c r="H1366" s="1853" t="s">
        <v>1</v>
      </c>
      <c r="I1366" s="1853" t="s">
        <v>739</v>
      </c>
    </row>
    <row r="1367" spans="1:9" ht="11.25" customHeight="1">
      <c r="A1367" s="1853" t="s">
        <v>2101</v>
      </c>
      <c r="B1367" s="1853" t="s">
        <v>0</v>
      </c>
      <c r="C1367" s="1853" t="s">
        <v>3129</v>
      </c>
      <c r="D1367" s="1853" t="s">
        <v>3130</v>
      </c>
      <c r="E1367" s="1853" t="s">
        <v>3131</v>
      </c>
      <c r="F1367" s="1853" t="s">
        <v>2178</v>
      </c>
      <c r="G1367" s="1853" t="s">
        <v>1</v>
      </c>
      <c r="H1367" s="1853" t="s">
        <v>1</v>
      </c>
      <c r="I1367" s="1853" t="s">
        <v>739</v>
      </c>
    </row>
    <row r="1368" spans="1:9" ht="11.25" customHeight="1">
      <c r="A1368" s="1853" t="s">
        <v>2101</v>
      </c>
      <c r="B1368" s="1853" t="s">
        <v>0</v>
      </c>
      <c r="C1368" s="1853" t="s">
        <v>3138</v>
      </c>
      <c r="D1368" s="1853" t="s">
        <v>3139</v>
      </c>
      <c r="E1368" s="1853" t="s">
        <v>3140</v>
      </c>
      <c r="F1368" s="1853" t="s">
        <v>2141</v>
      </c>
      <c r="G1368" s="1853" t="s">
        <v>1</v>
      </c>
      <c r="H1368" s="1853" t="s">
        <v>1</v>
      </c>
      <c r="I1368" s="1853" t="s">
        <v>739</v>
      </c>
    </row>
    <row r="1369" spans="1:9" ht="11.25" customHeight="1">
      <c r="A1369" s="1853" t="s">
        <v>2101</v>
      </c>
      <c r="B1369" s="1853" t="s">
        <v>0</v>
      </c>
      <c r="C1369" s="1853" t="s">
        <v>4414</v>
      </c>
      <c r="D1369" s="1853" t="s">
        <v>4415</v>
      </c>
      <c r="E1369" s="1853" t="s">
        <v>4416</v>
      </c>
      <c r="F1369" s="1853" t="s">
        <v>2196</v>
      </c>
      <c r="G1369" s="1853" t="s">
        <v>1</v>
      </c>
      <c r="H1369" s="1853" t="s">
        <v>1</v>
      </c>
      <c r="I1369" s="1853" t="s">
        <v>739</v>
      </c>
    </row>
    <row r="1370" spans="1:9" ht="11.25" customHeight="1">
      <c r="A1370" s="1853" t="s">
        <v>2101</v>
      </c>
      <c r="B1370" s="1853" t="s">
        <v>0</v>
      </c>
      <c r="C1370" s="1853" t="s">
        <v>3188</v>
      </c>
      <c r="D1370" s="1853" t="s">
        <v>3189</v>
      </c>
      <c r="E1370" s="1853" t="s">
        <v>3190</v>
      </c>
      <c r="F1370" s="1853" t="s">
        <v>2329</v>
      </c>
      <c r="G1370" s="1853" t="s">
        <v>1</v>
      </c>
      <c r="H1370" s="1853" t="s">
        <v>1</v>
      </c>
      <c r="I1370" s="1853" t="s">
        <v>739</v>
      </c>
    </row>
    <row r="1371" spans="1:9" ht="11.25" customHeight="1">
      <c r="A1371" s="1853" t="s">
        <v>2101</v>
      </c>
      <c r="B1371" s="1853" t="s">
        <v>0</v>
      </c>
      <c r="C1371" s="1853" t="s">
        <v>4614</v>
      </c>
      <c r="D1371" s="1853" t="s">
        <v>4615</v>
      </c>
      <c r="E1371" s="1853" t="s">
        <v>4616</v>
      </c>
      <c r="F1371" s="1853" t="s">
        <v>2105</v>
      </c>
      <c r="G1371" s="1853" t="s">
        <v>1</v>
      </c>
      <c r="H1371" s="1853" t="s">
        <v>1</v>
      </c>
      <c r="I1371" s="1853" t="s">
        <v>739</v>
      </c>
    </row>
    <row r="1372" spans="1:9" ht="11.25" customHeight="1">
      <c r="A1372" s="1853" t="s">
        <v>2101</v>
      </c>
      <c r="B1372" s="1853" t="s">
        <v>0</v>
      </c>
      <c r="C1372" s="1853" t="s">
        <v>3200</v>
      </c>
      <c r="D1372" s="1853" t="s">
        <v>3201</v>
      </c>
      <c r="E1372" s="1853" t="s">
        <v>3202</v>
      </c>
      <c r="F1372" s="1853" t="s">
        <v>2528</v>
      </c>
      <c r="G1372" s="1853" t="s">
        <v>1</v>
      </c>
      <c r="H1372" s="1853" t="s">
        <v>1</v>
      </c>
      <c r="I1372" s="1853" t="s">
        <v>739</v>
      </c>
    </row>
    <row r="1373" spans="1:9" ht="11.25" customHeight="1">
      <c r="A1373" s="1853" t="s">
        <v>2101</v>
      </c>
      <c r="B1373" s="1853" t="s">
        <v>0</v>
      </c>
      <c r="C1373" s="1853" t="s">
        <v>3206</v>
      </c>
      <c r="D1373" s="1853" t="s">
        <v>3207</v>
      </c>
      <c r="E1373" s="1853" t="s">
        <v>3208</v>
      </c>
      <c r="F1373" s="1853" t="s">
        <v>2424</v>
      </c>
      <c r="G1373" s="1853" t="s">
        <v>1</v>
      </c>
      <c r="H1373" s="1853" t="s">
        <v>1</v>
      </c>
      <c r="I1373" s="1853" t="s">
        <v>739</v>
      </c>
    </row>
    <row r="1374" spans="1:9" ht="11.25" customHeight="1">
      <c r="A1374" s="1853" t="s">
        <v>2101</v>
      </c>
      <c r="B1374" s="1853" t="s">
        <v>0</v>
      </c>
      <c r="C1374" s="1853" t="s">
        <v>4423</v>
      </c>
      <c r="D1374" s="1853" t="s">
        <v>4424</v>
      </c>
      <c r="E1374" s="1853" t="s">
        <v>4425</v>
      </c>
      <c r="F1374" s="1853" t="s">
        <v>2105</v>
      </c>
      <c r="G1374" s="1853" t="s">
        <v>1</v>
      </c>
      <c r="H1374" s="1853" t="s">
        <v>1</v>
      </c>
      <c r="I1374" s="1853" t="s">
        <v>739</v>
      </c>
    </row>
    <row r="1375" spans="1:9" ht="11.25" customHeight="1">
      <c r="A1375" s="1853" t="s">
        <v>2101</v>
      </c>
      <c r="B1375" s="1853" t="s">
        <v>0</v>
      </c>
      <c r="C1375" s="1853" t="s">
        <v>3244</v>
      </c>
      <c r="D1375" s="1853" t="s">
        <v>3245</v>
      </c>
      <c r="E1375" s="1853" t="s">
        <v>3246</v>
      </c>
      <c r="F1375" s="1853" t="s">
        <v>2416</v>
      </c>
      <c r="G1375" s="1853" t="s">
        <v>1</v>
      </c>
      <c r="H1375" s="1853" t="s">
        <v>1</v>
      </c>
      <c r="I1375" s="1853" t="s">
        <v>739</v>
      </c>
    </row>
    <row r="1376" spans="1:9" ht="11.25" customHeight="1">
      <c r="A1376" s="1853" t="s">
        <v>2101</v>
      </c>
      <c r="B1376" s="1853" t="s">
        <v>0</v>
      </c>
      <c r="C1376" s="1853" t="s">
        <v>3253</v>
      </c>
      <c r="D1376" s="1853" t="s">
        <v>3254</v>
      </c>
      <c r="E1376" s="1853" t="s">
        <v>3255</v>
      </c>
      <c r="F1376" s="1853" t="s">
        <v>2141</v>
      </c>
      <c r="G1376" s="1853" t="s">
        <v>1</v>
      </c>
      <c r="H1376" s="1853" t="s">
        <v>1</v>
      </c>
      <c r="I1376" s="1853" t="s">
        <v>739</v>
      </c>
    </row>
    <row r="1377" spans="1:9" ht="11.25" customHeight="1">
      <c r="A1377" s="1853" t="s">
        <v>2101</v>
      </c>
      <c r="B1377" s="1853" t="s">
        <v>0</v>
      </c>
      <c r="C1377" s="1853" t="s">
        <v>4429</v>
      </c>
      <c r="D1377" s="1853" t="s">
        <v>4430</v>
      </c>
      <c r="E1377" s="1853" t="s">
        <v>4431</v>
      </c>
      <c r="F1377" s="1853" t="s">
        <v>2105</v>
      </c>
      <c r="G1377" s="1853" t="s">
        <v>1</v>
      </c>
      <c r="H1377" s="1853" t="s">
        <v>1</v>
      </c>
      <c r="I1377" s="1853" t="s">
        <v>739</v>
      </c>
    </row>
    <row r="1378" spans="1:9" ht="11.25" customHeight="1">
      <c r="A1378" s="1853" t="s">
        <v>2101</v>
      </c>
      <c r="B1378" s="1853" t="s">
        <v>0</v>
      </c>
      <c r="C1378" s="1853" t="s">
        <v>3268</v>
      </c>
      <c r="D1378" s="1853" t="s">
        <v>3269</v>
      </c>
      <c r="E1378" s="1853" t="s">
        <v>3270</v>
      </c>
      <c r="F1378" s="1853" t="s">
        <v>2230</v>
      </c>
      <c r="G1378" s="1853" t="s">
        <v>1</v>
      </c>
      <c r="H1378" s="1853" t="s">
        <v>1</v>
      </c>
      <c r="I1378" s="1853" t="s">
        <v>739</v>
      </c>
    </row>
    <row r="1379" spans="1:9" ht="11.25" customHeight="1">
      <c r="A1379" s="1853" t="s">
        <v>2101</v>
      </c>
      <c r="B1379" s="1853" t="s">
        <v>0</v>
      </c>
      <c r="C1379" s="1853" t="s">
        <v>4435</v>
      </c>
      <c r="D1379" s="1853" t="s">
        <v>4436</v>
      </c>
      <c r="E1379" s="1853" t="s">
        <v>4437</v>
      </c>
      <c r="F1379" s="1853" t="s">
        <v>2222</v>
      </c>
      <c r="G1379" s="1853" t="s">
        <v>1</v>
      </c>
      <c r="H1379" s="1853" t="s">
        <v>1</v>
      </c>
      <c r="I1379" s="1853" t="s">
        <v>739</v>
      </c>
    </row>
    <row r="1380" spans="1:9" ht="11.25" customHeight="1">
      <c r="A1380" s="1853" t="s">
        <v>2101</v>
      </c>
      <c r="B1380" s="1853" t="s">
        <v>0</v>
      </c>
      <c r="C1380" s="1853" t="s">
        <v>4617</v>
      </c>
      <c r="D1380" s="1853" t="s">
        <v>4618</v>
      </c>
      <c r="E1380" s="1853" t="s">
        <v>4619</v>
      </c>
      <c r="F1380" s="1853" t="s">
        <v>2424</v>
      </c>
      <c r="G1380" s="1853" t="s">
        <v>1</v>
      </c>
      <c r="H1380" s="1853" t="s">
        <v>1</v>
      </c>
      <c r="I1380" s="1853" t="s">
        <v>739</v>
      </c>
    </row>
    <row r="1381" spans="1:9" ht="11.25" customHeight="1">
      <c r="A1381" s="1853" t="s">
        <v>2101</v>
      </c>
      <c r="B1381" s="1853" t="s">
        <v>0</v>
      </c>
      <c r="C1381" s="1853" t="s">
        <v>3345</v>
      </c>
      <c r="D1381" s="1853" t="s">
        <v>3346</v>
      </c>
      <c r="E1381" s="1853" t="s">
        <v>2113</v>
      </c>
      <c r="F1381" s="1853" t="s">
        <v>2308</v>
      </c>
      <c r="G1381" s="1853" t="s">
        <v>1</v>
      </c>
      <c r="H1381" s="1853" t="s">
        <v>1</v>
      </c>
      <c r="I1381" s="1853" t="s">
        <v>739</v>
      </c>
    </row>
    <row r="1382" spans="1:9" ht="11.25" customHeight="1">
      <c r="A1382" s="1853" t="s">
        <v>2101</v>
      </c>
      <c r="B1382" s="1853" t="s">
        <v>0</v>
      </c>
      <c r="C1382" s="1853" t="s">
        <v>3347</v>
      </c>
      <c r="D1382" s="1853" t="s">
        <v>3348</v>
      </c>
      <c r="E1382" s="1853" t="s">
        <v>2247</v>
      </c>
      <c r="F1382" s="1853" t="s">
        <v>3349</v>
      </c>
      <c r="G1382" s="1853" t="s">
        <v>2251</v>
      </c>
      <c r="H1382" s="1853" t="s">
        <v>1</v>
      </c>
      <c r="I1382" s="1853" t="s">
        <v>739</v>
      </c>
    </row>
    <row r="1383" spans="1:9" ht="11.25" customHeight="1">
      <c r="A1383" s="1853" t="s">
        <v>2101</v>
      </c>
      <c r="B1383" s="1853" t="s">
        <v>0</v>
      </c>
      <c r="C1383" s="1853" t="s">
        <v>4438</v>
      </c>
      <c r="D1383" s="1853" t="s">
        <v>4439</v>
      </c>
      <c r="E1383" s="1853" t="s">
        <v>4440</v>
      </c>
      <c r="F1383" s="1853" t="s">
        <v>2568</v>
      </c>
      <c r="G1383" s="1853" t="s">
        <v>1</v>
      </c>
      <c r="H1383" s="1853" t="s">
        <v>1</v>
      </c>
      <c r="I1383" s="1853" t="s">
        <v>739</v>
      </c>
    </row>
    <row r="1384" spans="1:9" ht="11.25" customHeight="1">
      <c r="A1384" s="1853" t="s">
        <v>2101</v>
      </c>
      <c r="B1384" s="1853" t="s">
        <v>0</v>
      </c>
      <c r="C1384" s="1853" t="s">
        <v>4620</v>
      </c>
      <c r="D1384" s="1853" t="s">
        <v>4621</v>
      </c>
      <c r="E1384" s="1853" t="s">
        <v>4622</v>
      </c>
      <c r="F1384" s="1853" t="s">
        <v>2222</v>
      </c>
      <c r="G1384" s="1853" t="s">
        <v>4623</v>
      </c>
      <c r="H1384" s="1853" t="s">
        <v>1</v>
      </c>
      <c r="I1384" s="1853" t="s">
        <v>739</v>
      </c>
    </row>
    <row r="1385" spans="1:9" ht="11.25" customHeight="1">
      <c r="A1385" s="1853" t="s">
        <v>2101</v>
      </c>
      <c r="B1385" s="1853" t="s">
        <v>0</v>
      </c>
      <c r="C1385" s="1853" t="s">
        <v>4441</v>
      </c>
      <c r="D1385" s="1853" t="s">
        <v>4442</v>
      </c>
      <c r="E1385" s="1853" t="s">
        <v>4443</v>
      </c>
      <c r="F1385" s="1853" t="s">
        <v>2230</v>
      </c>
      <c r="G1385" s="1853" t="s">
        <v>1</v>
      </c>
      <c r="H1385" s="1853" t="s">
        <v>1</v>
      </c>
      <c r="I1385" s="1853" t="s">
        <v>739</v>
      </c>
    </row>
    <row r="1386" spans="1:9" ht="11.25" customHeight="1">
      <c r="A1386" s="1853" t="s">
        <v>2101</v>
      </c>
      <c r="B1386" s="1853" t="s">
        <v>0</v>
      </c>
      <c r="C1386" s="1853" t="s">
        <v>3371</v>
      </c>
      <c r="D1386" s="1853" t="s">
        <v>3372</v>
      </c>
      <c r="E1386" s="1853" t="s">
        <v>3373</v>
      </c>
      <c r="F1386" s="1853" t="s">
        <v>2572</v>
      </c>
      <c r="G1386" s="1853" t="s">
        <v>3374</v>
      </c>
      <c r="H1386" s="1853" t="s">
        <v>1</v>
      </c>
      <c r="I1386" s="1853" t="s">
        <v>739</v>
      </c>
    </row>
    <row r="1387" spans="1:9" ht="11.25" customHeight="1">
      <c r="A1387" s="1853" t="s">
        <v>2101</v>
      </c>
      <c r="B1387" s="1853" t="s">
        <v>0</v>
      </c>
      <c r="C1387" s="1853" t="s">
        <v>4452</v>
      </c>
      <c r="D1387" s="1853" t="s">
        <v>4453</v>
      </c>
      <c r="E1387" s="1853" t="s">
        <v>4454</v>
      </c>
      <c r="F1387" s="1853" t="s">
        <v>2613</v>
      </c>
      <c r="G1387" s="1853" t="s">
        <v>1</v>
      </c>
      <c r="H1387" s="1853" t="s">
        <v>1</v>
      </c>
      <c r="I1387" s="1853" t="s">
        <v>739</v>
      </c>
    </row>
    <row r="1388" spans="1:9" ht="11.25" customHeight="1">
      <c r="A1388" s="1853" t="s">
        <v>2101</v>
      </c>
      <c r="B1388" s="1853" t="s">
        <v>0</v>
      </c>
      <c r="C1388" s="1853" t="s">
        <v>3391</v>
      </c>
      <c r="D1388" s="1853" t="s">
        <v>3392</v>
      </c>
      <c r="E1388" s="1853" t="s">
        <v>3393</v>
      </c>
      <c r="F1388" s="1853" t="s">
        <v>2572</v>
      </c>
      <c r="G1388" s="1853" t="s">
        <v>3394</v>
      </c>
      <c r="H1388" s="1853" t="s">
        <v>1</v>
      </c>
      <c r="I1388" s="1853" t="s">
        <v>739</v>
      </c>
    </row>
    <row r="1389" spans="1:9" ht="11.25" customHeight="1">
      <c r="A1389" s="1853" t="s">
        <v>2101</v>
      </c>
      <c r="B1389" s="1853" t="s">
        <v>0</v>
      </c>
      <c r="C1389" s="1853" t="s">
        <v>3395</v>
      </c>
      <c r="D1389" s="1853" t="s">
        <v>3396</v>
      </c>
      <c r="E1389" s="1853" t="s">
        <v>3397</v>
      </c>
      <c r="F1389" s="1853" t="s">
        <v>12</v>
      </c>
      <c r="G1389" s="1853" t="s">
        <v>3398</v>
      </c>
      <c r="H1389" s="1853" t="s">
        <v>1</v>
      </c>
      <c r="I1389" s="1853" t="s">
        <v>739</v>
      </c>
    </row>
    <row r="1390" spans="1:9" ht="11.25" customHeight="1">
      <c r="A1390" s="1853" t="s">
        <v>2101</v>
      </c>
      <c r="B1390" s="1853" t="s">
        <v>0</v>
      </c>
      <c r="C1390" s="1853" t="s">
        <v>3402</v>
      </c>
      <c r="D1390" s="1853" t="s">
        <v>3403</v>
      </c>
      <c r="E1390" s="1853" t="s">
        <v>3404</v>
      </c>
      <c r="F1390" s="1853" t="s">
        <v>2613</v>
      </c>
      <c r="G1390" s="1853" t="s">
        <v>3405</v>
      </c>
      <c r="H1390" s="1853" t="s">
        <v>1</v>
      </c>
      <c r="I1390" s="1853" t="s">
        <v>739</v>
      </c>
    </row>
    <row r="1391" spans="1:9" ht="11.25" customHeight="1">
      <c r="A1391" s="1853" t="s">
        <v>2101</v>
      </c>
      <c r="B1391" s="1853" t="s">
        <v>0</v>
      </c>
      <c r="C1391" s="1853" t="s">
        <v>4624</v>
      </c>
      <c r="D1391" s="1853" t="s">
        <v>4625</v>
      </c>
      <c r="E1391" s="1853" t="s">
        <v>4626</v>
      </c>
      <c r="F1391" s="1853" t="s">
        <v>2424</v>
      </c>
      <c r="G1391" s="1853" t="s">
        <v>4627</v>
      </c>
      <c r="H1391" s="1853" t="s">
        <v>1</v>
      </c>
      <c r="I1391" s="1853" t="s">
        <v>739</v>
      </c>
    </row>
    <row r="1392" spans="1:9" ht="11.25" customHeight="1">
      <c r="A1392" s="1853" t="s">
        <v>2101</v>
      </c>
      <c r="B1392" s="1853" t="s">
        <v>0</v>
      </c>
      <c r="C1392" s="1853" t="s">
        <v>3406</v>
      </c>
      <c r="D1392" s="1853" t="s">
        <v>3407</v>
      </c>
      <c r="E1392" s="1853" t="s">
        <v>3408</v>
      </c>
      <c r="F1392" s="1853" t="s">
        <v>2528</v>
      </c>
      <c r="G1392" s="1853" t="s">
        <v>3409</v>
      </c>
      <c r="H1392" s="1853" t="s">
        <v>1</v>
      </c>
      <c r="I1392" s="1853" t="s">
        <v>739</v>
      </c>
    </row>
    <row r="1393" spans="1:9" ht="11.25" customHeight="1">
      <c r="A1393" s="1853" t="s">
        <v>2101</v>
      </c>
      <c r="B1393" s="1853" t="s">
        <v>0</v>
      </c>
      <c r="C1393" s="1853" t="s">
        <v>4463</v>
      </c>
      <c r="D1393" s="1853" t="s">
        <v>4464</v>
      </c>
      <c r="E1393" s="1853" t="s">
        <v>4465</v>
      </c>
      <c r="F1393" s="1853" t="s">
        <v>2211</v>
      </c>
      <c r="G1393" s="1853" t="s">
        <v>1</v>
      </c>
      <c r="H1393" s="1853" t="s">
        <v>1</v>
      </c>
      <c r="I1393" s="1853" t="s">
        <v>739</v>
      </c>
    </row>
    <row r="1394" spans="1:9" ht="11.25" customHeight="1">
      <c r="A1394" s="1853" t="s">
        <v>2101</v>
      </c>
      <c r="B1394" s="1853" t="s">
        <v>0</v>
      </c>
      <c r="C1394" s="1853" t="s">
        <v>3416</v>
      </c>
      <c r="D1394" s="1853" t="s">
        <v>3417</v>
      </c>
      <c r="E1394" s="1853" t="s">
        <v>3418</v>
      </c>
      <c r="F1394" s="1853" t="s">
        <v>12</v>
      </c>
      <c r="G1394" s="1853" t="s">
        <v>1</v>
      </c>
      <c r="H1394" s="1853" t="s">
        <v>1</v>
      </c>
      <c r="I1394" s="1853" t="s">
        <v>739</v>
      </c>
    </row>
    <row r="1395" spans="1:9" ht="11.25" customHeight="1">
      <c r="A1395" s="1853" t="s">
        <v>2101</v>
      </c>
      <c r="B1395" s="1853" t="s">
        <v>0</v>
      </c>
      <c r="C1395" s="1853" t="s">
        <v>4466</v>
      </c>
      <c r="D1395" s="1853" t="s">
        <v>4467</v>
      </c>
      <c r="E1395" s="1853" t="s">
        <v>4468</v>
      </c>
      <c r="F1395" s="1853" t="s">
        <v>2132</v>
      </c>
      <c r="G1395" s="1853" t="s">
        <v>4469</v>
      </c>
      <c r="H1395" s="1853" t="s">
        <v>1</v>
      </c>
      <c r="I1395" s="1853" t="s">
        <v>739</v>
      </c>
    </row>
    <row r="1396" spans="1:9" ht="11.25" customHeight="1">
      <c r="A1396" s="1853" t="s">
        <v>2101</v>
      </c>
      <c r="B1396" s="1853" t="s">
        <v>0</v>
      </c>
      <c r="C1396" s="1853" t="s">
        <v>4470</v>
      </c>
      <c r="D1396" s="1853" t="s">
        <v>4471</v>
      </c>
      <c r="E1396" s="1853" t="s">
        <v>4472</v>
      </c>
      <c r="F1396" s="1853" t="s">
        <v>2141</v>
      </c>
      <c r="G1396" s="1853" t="s">
        <v>4473</v>
      </c>
      <c r="H1396" s="1853" t="s">
        <v>1</v>
      </c>
      <c r="I1396" s="1853" t="s">
        <v>739</v>
      </c>
    </row>
    <row r="1397" spans="1:9" ht="11.25" customHeight="1">
      <c r="A1397" s="1853" t="s">
        <v>2101</v>
      </c>
      <c r="B1397" s="1853" t="s">
        <v>0</v>
      </c>
      <c r="C1397" s="1853" t="s">
        <v>4474</v>
      </c>
      <c r="D1397" s="1853" t="s">
        <v>4475</v>
      </c>
      <c r="E1397" s="1853" t="s">
        <v>4476</v>
      </c>
      <c r="F1397" s="1853" t="s">
        <v>2196</v>
      </c>
      <c r="G1397" s="1853" t="s">
        <v>4477</v>
      </c>
      <c r="H1397" s="1853" t="s">
        <v>1</v>
      </c>
      <c r="I1397" s="1853" t="s">
        <v>739</v>
      </c>
    </row>
    <row r="1398" spans="1:9" ht="11.25" customHeight="1">
      <c r="A1398" s="1853" t="s">
        <v>2101</v>
      </c>
      <c r="B1398" s="1853" t="s">
        <v>0</v>
      </c>
      <c r="C1398" s="1853" t="s">
        <v>3430</v>
      </c>
      <c r="D1398" s="1853" t="s">
        <v>3431</v>
      </c>
      <c r="E1398" s="1853" t="s">
        <v>3432</v>
      </c>
      <c r="F1398" s="1853" t="s">
        <v>3433</v>
      </c>
      <c r="G1398" s="1853" t="s">
        <v>1</v>
      </c>
      <c r="H1398" s="1853" t="s">
        <v>1</v>
      </c>
      <c r="I1398" s="1853" t="s">
        <v>739</v>
      </c>
    </row>
    <row r="1399" spans="1:9" ht="11.25" customHeight="1">
      <c r="A1399" s="1853" t="s">
        <v>2101</v>
      </c>
      <c r="B1399" s="1853" t="s">
        <v>0</v>
      </c>
      <c r="C1399" s="1853" t="s">
        <v>4478</v>
      </c>
      <c r="D1399" s="1853" t="s">
        <v>4479</v>
      </c>
      <c r="E1399" s="1853" t="s">
        <v>3432</v>
      </c>
      <c r="F1399" s="1853" t="s">
        <v>4480</v>
      </c>
      <c r="G1399" s="1853" t="s">
        <v>4481</v>
      </c>
      <c r="H1399" s="1853" t="s">
        <v>1</v>
      </c>
      <c r="I1399" s="1853" t="s">
        <v>739</v>
      </c>
    </row>
    <row r="1400" spans="1:9" ht="11.25" customHeight="1">
      <c r="A1400" s="1853" t="s">
        <v>2101</v>
      </c>
      <c r="B1400" s="1853" t="s">
        <v>0</v>
      </c>
      <c r="C1400" s="1853" t="s">
        <v>3448</v>
      </c>
      <c r="D1400" s="1853" t="s">
        <v>3449</v>
      </c>
      <c r="E1400" s="1853" t="s">
        <v>3432</v>
      </c>
      <c r="F1400" s="1853" t="s">
        <v>3450</v>
      </c>
      <c r="G1400" s="1853" t="s">
        <v>1</v>
      </c>
      <c r="H1400" s="1853" t="s">
        <v>1</v>
      </c>
      <c r="I1400" s="1853" t="s">
        <v>739</v>
      </c>
    </row>
    <row r="1401" spans="1:9" ht="11.25" customHeight="1">
      <c r="A1401" s="1853" t="s">
        <v>2101</v>
      </c>
      <c r="B1401" s="1853" t="s">
        <v>0</v>
      </c>
      <c r="C1401" s="1853" t="s">
        <v>3463</v>
      </c>
      <c r="D1401" s="1853" t="s">
        <v>3464</v>
      </c>
      <c r="E1401" s="1853" t="s">
        <v>3465</v>
      </c>
      <c r="F1401" s="1853" t="s">
        <v>2509</v>
      </c>
      <c r="G1401" s="1853" t="s">
        <v>3466</v>
      </c>
      <c r="H1401" s="1853" t="s">
        <v>1</v>
      </c>
      <c r="I1401" s="1853" t="s">
        <v>739</v>
      </c>
    </row>
    <row r="1402" spans="1:9" ht="11.25" customHeight="1">
      <c r="A1402" s="1853" t="s">
        <v>2101</v>
      </c>
      <c r="B1402" s="1853" t="s">
        <v>0</v>
      </c>
      <c r="C1402" s="1853" t="s">
        <v>3467</v>
      </c>
      <c r="D1402" s="1853" t="s">
        <v>3468</v>
      </c>
      <c r="E1402" s="1853" t="s">
        <v>3465</v>
      </c>
      <c r="F1402" s="1853" t="s">
        <v>3469</v>
      </c>
      <c r="G1402" s="1853" t="s">
        <v>3466</v>
      </c>
      <c r="H1402" s="1853" t="s">
        <v>1</v>
      </c>
      <c r="I1402" s="1853" t="s">
        <v>739</v>
      </c>
    </row>
    <row r="1403" spans="1:9" ht="11.25" customHeight="1">
      <c r="A1403" s="1853" t="s">
        <v>2101</v>
      </c>
      <c r="B1403" s="1853" t="s">
        <v>0</v>
      </c>
      <c r="C1403" s="1853" t="s">
        <v>4628</v>
      </c>
      <c r="D1403" s="1853" t="s">
        <v>4629</v>
      </c>
      <c r="E1403" s="1853" t="s">
        <v>4630</v>
      </c>
      <c r="F1403" s="1853" t="s">
        <v>2424</v>
      </c>
      <c r="G1403" s="1853" t="s">
        <v>1</v>
      </c>
      <c r="H1403" s="1853" t="s">
        <v>4631</v>
      </c>
      <c r="I1403" s="1853" t="s">
        <v>739</v>
      </c>
    </row>
    <row r="1404" spans="1:9" ht="11.25" customHeight="1">
      <c r="A1404" s="1853" t="s">
        <v>2101</v>
      </c>
      <c r="B1404" s="1853" t="s">
        <v>0</v>
      </c>
      <c r="C1404" s="1853" t="s">
        <v>4486</v>
      </c>
      <c r="D1404" s="1853" t="s">
        <v>4487</v>
      </c>
      <c r="E1404" s="1853" t="s">
        <v>4488</v>
      </c>
      <c r="F1404" s="1853" t="s">
        <v>2222</v>
      </c>
      <c r="G1404" s="1853" t="s">
        <v>4489</v>
      </c>
      <c r="H1404" s="1853" t="s">
        <v>4490</v>
      </c>
      <c r="I1404" s="1853" t="s">
        <v>739</v>
      </c>
    </row>
    <row r="1405" spans="1:9" ht="11.25" customHeight="1">
      <c r="A1405" s="1853" t="s">
        <v>2101</v>
      </c>
      <c r="B1405" s="1853" t="s">
        <v>0</v>
      </c>
      <c r="C1405" s="1853" t="s">
        <v>3505</v>
      </c>
      <c r="D1405" s="1853" t="s">
        <v>3506</v>
      </c>
      <c r="E1405" s="1853" t="s">
        <v>3507</v>
      </c>
      <c r="F1405" s="1853" t="s">
        <v>2105</v>
      </c>
      <c r="G1405" s="1853" t="s">
        <v>2573</v>
      </c>
      <c r="H1405" s="1853" t="s">
        <v>1</v>
      </c>
      <c r="I1405" s="1853" t="s">
        <v>739</v>
      </c>
    </row>
    <row r="1406" spans="1:9" ht="11.25" customHeight="1">
      <c r="A1406" s="1853" t="s">
        <v>2101</v>
      </c>
      <c r="B1406" s="1853" t="s">
        <v>0</v>
      </c>
      <c r="C1406" s="1853" t="s">
        <v>3518</v>
      </c>
      <c r="D1406" s="1853" t="s">
        <v>3519</v>
      </c>
      <c r="E1406" s="1853" t="s">
        <v>3520</v>
      </c>
      <c r="F1406" s="1853" t="s">
        <v>3425</v>
      </c>
      <c r="G1406" s="1853" t="s">
        <v>1</v>
      </c>
      <c r="H1406" s="1853" t="s">
        <v>1</v>
      </c>
      <c r="I1406" s="1853" t="s">
        <v>739</v>
      </c>
    </row>
    <row r="1407" spans="1:9" ht="11.25" customHeight="1">
      <c r="A1407" s="1853" t="s">
        <v>2101</v>
      </c>
      <c r="B1407" s="1853" t="s">
        <v>0</v>
      </c>
      <c r="C1407" s="1853" t="s">
        <v>4632</v>
      </c>
      <c r="D1407" s="1853" t="s">
        <v>4633</v>
      </c>
      <c r="E1407" s="1853" t="s">
        <v>4634</v>
      </c>
      <c r="F1407" s="1853" t="s">
        <v>2683</v>
      </c>
      <c r="G1407" s="1853" t="s">
        <v>1</v>
      </c>
      <c r="H1407" s="1853" t="s">
        <v>1</v>
      </c>
      <c r="I1407" s="1853" t="s">
        <v>739</v>
      </c>
    </row>
    <row r="1408" spans="1:9" ht="11.25" customHeight="1">
      <c r="A1408" s="1853" t="s">
        <v>2101</v>
      </c>
      <c r="B1408" s="1853" t="s">
        <v>0</v>
      </c>
      <c r="C1408" s="1853" t="s">
        <v>3525</v>
      </c>
      <c r="D1408" s="1853" t="s">
        <v>3526</v>
      </c>
      <c r="E1408" s="1853" t="s">
        <v>3527</v>
      </c>
      <c r="F1408" s="1853" t="s">
        <v>2105</v>
      </c>
      <c r="G1408" s="1853" t="s">
        <v>1</v>
      </c>
      <c r="H1408" s="1853" t="s">
        <v>1</v>
      </c>
      <c r="I1408" s="1853" t="s">
        <v>739</v>
      </c>
    </row>
    <row r="1409" spans="1:9" ht="11.25" customHeight="1">
      <c r="A1409" s="1853" t="s">
        <v>2101</v>
      </c>
      <c r="B1409" s="1853" t="s">
        <v>0</v>
      </c>
      <c r="C1409" s="1853" t="s">
        <v>3528</v>
      </c>
      <c r="D1409" s="1853" t="s">
        <v>3529</v>
      </c>
      <c r="E1409" s="1853" t="s">
        <v>3530</v>
      </c>
      <c r="F1409" s="1853" t="s">
        <v>2230</v>
      </c>
      <c r="G1409" s="1853" t="s">
        <v>3531</v>
      </c>
      <c r="H1409" s="1853" t="s">
        <v>1</v>
      </c>
      <c r="I1409" s="1853" t="s">
        <v>739</v>
      </c>
    </row>
    <row r="1410" spans="1:9" ht="11.25" customHeight="1">
      <c r="A1410" s="1853" t="s">
        <v>2101</v>
      </c>
      <c r="B1410" s="1853" t="s">
        <v>0</v>
      </c>
      <c r="C1410" s="1853" t="s">
        <v>4491</v>
      </c>
      <c r="D1410" s="1853" t="s">
        <v>4492</v>
      </c>
      <c r="E1410" s="1853" t="s">
        <v>4493</v>
      </c>
      <c r="F1410" s="1853" t="s">
        <v>2230</v>
      </c>
      <c r="G1410" s="1853" t="s">
        <v>1</v>
      </c>
      <c r="H1410" s="1853" t="s">
        <v>1</v>
      </c>
      <c r="I1410" s="1853" t="s">
        <v>739</v>
      </c>
    </row>
    <row r="1411" spans="1:9" ht="11.25" customHeight="1">
      <c r="A1411" s="1853" t="s">
        <v>2101</v>
      </c>
      <c r="B1411" s="1853" t="s">
        <v>0</v>
      </c>
      <c r="C1411" s="1853" t="s">
        <v>3536</v>
      </c>
      <c r="D1411" s="1853" t="s">
        <v>3537</v>
      </c>
      <c r="E1411" s="1853" t="s">
        <v>3538</v>
      </c>
      <c r="F1411" s="1853" t="s">
        <v>2222</v>
      </c>
      <c r="G1411" s="1853" t="s">
        <v>1</v>
      </c>
      <c r="H1411" s="1853" t="s">
        <v>1</v>
      </c>
      <c r="I1411" s="1853" t="s">
        <v>739</v>
      </c>
    </row>
    <row r="1412" spans="1:9" ht="11.25" customHeight="1">
      <c r="A1412" s="1853" t="s">
        <v>2101</v>
      </c>
      <c r="B1412" s="1853" t="s">
        <v>0</v>
      </c>
      <c r="C1412" s="1853" t="s">
        <v>3546</v>
      </c>
      <c r="D1412" s="1853" t="s">
        <v>3547</v>
      </c>
      <c r="E1412" s="1853" t="s">
        <v>3548</v>
      </c>
      <c r="F1412" s="1853" t="s">
        <v>12</v>
      </c>
      <c r="G1412" s="1853" t="s">
        <v>1</v>
      </c>
      <c r="H1412" s="1853" t="s">
        <v>1</v>
      </c>
      <c r="I1412" s="1853" t="s">
        <v>739</v>
      </c>
    </row>
    <row r="1413" spans="1:9" ht="11.25" customHeight="1">
      <c r="A1413" s="1853" t="s">
        <v>2101</v>
      </c>
      <c r="B1413" s="1853" t="s">
        <v>0</v>
      </c>
      <c r="C1413" s="1853" t="s">
        <v>3559</v>
      </c>
      <c r="D1413" s="1853" t="s">
        <v>3560</v>
      </c>
      <c r="E1413" s="1853" t="s">
        <v>3561</v>
      </c>
      <c r="F1413" s="1853" t="s">
        <v>2329</v>
      </c>
      <c r="G1413" s="1853" t="s">
        <v>1</v>
      </c>
      <c r="H1413" s="1853" t="s">
        <v>1</v>
      </c>
      <c r="I1413" s="1853" t="s">
        <v>739</v>
      </c>
    </row>
    <row r="1414" spans="1:9" ht="11.25" customHeight="1">
      <c r="A1414" s="1853" t="s">
        <v>2101</v>
      </c>
      <c r="B1414" s="1853" t="s">
        <v>0</v>
      </c>
      <c r="C1414" s="1853" t="s">
        <v>3571</v>
      </c>
      <c r="D1414" s="1853" t="s">
        <v>3572</v>
      </c>
      <c r="E1414" s="1853" t="s">
        <v>3573</v>
      </c>
      <c r="F1414" s="1853" t="s">
        <v>2222</v>
      </c>
      <c r="G1414" s="1853" t="s">
        <v>3574</v>
      </c>
      <c r="H1414" s="1853" t="s">
        <v>1</v>
      </c>
      <c r="I1414" s="1853" t="s">
        <v>739</v>
      </c>
    </row>
    <row r="1415" spans="1:9" ht="11.25" customHeight="1">
      <c r="A1415" s="1853" t="s">
        <v>2101</v>
      </c>
      <c r="B1415" s="1853" t="s">
        <v>0</v>
      </c>
      <c r="C1415" s="1853" t="s">
        <v>4635</v>
      </c>
      <c r="D1415" s="1853" t="s">
        <v>4636</v>
      </c>
      <c r="E1415" s="1853" t="s">
        <v>4637</v>
      </c>
      <c r="F1415" s="1853" t="s">
        <v>2141</v>
      </c>
      <c r="G1415" s="1853" t="s">
        <v>1</v>
      </c>
      <c r="H1415" s="1853" t="s">
        <v>1</v>
      </c>
      <c r="I1415" s="1853" t="s">
        <v>739</v>
      </c>
    </row>
    <row r="1416" spans="1:9" ht="11.25" customHeight="1">
      <c r="A1416" s="1853" t="s">
        <v>2101</v>
      </c>
      <c r="B1416" s="1853" t="s">
        <v>0</v>
      </c>
      <c r="C1416" s="1853" t="s">
        <v>4494</v>
      </c>
      <c r="D1416" s="1853" t="s">
        <v>4495</v>
      </c>
      <c r="E1416" s="1853" t="s">
        <v>4496</v>
      </c>
      <c r="F1416" s="1853" t="s">
        <v>3087</v>
      </c>
      <c r="G1416" s="1853" t="s">
        <v>2909</v>
      </c>
      <c r="H1416" s="1853" t="s">
        <v>1</v>
      </c>
      <c r="I1416" s="1853" t="s">
        <v>739</v>
      </c>
    </row>
    <row r="1417" spans="1:9" ht="11.25" customHeight="1">
      <c r="A1417" s="1853" t="s">
        <v>2101</v>
      </c>
      <c r="B1417" s="1853" t="s">
        <v>0</v>
      </c>
      <c r="C1417" s="1853" t="s">
        <v>3590</v>
      </c>
      <c r="D1417" s="1853" t="s">
        <v>3591</v>
      </c>
      <c r="E1417" s="1853" t="s">
        <v>3592</v>
      </c>
      <c r="F1417" s="1853" t="s">
        <v>3593</v>
      </c>
      <c r="G1417" s="1853" t="s">
        <v>1</v>
      </c>
      <c r="H1417" s="1853" t="s">
        <v>1</v>
      </c>
      <c r="I1417" s="1853" t="s">
        <v>739</v>
      </c>
    </row>
    <row r="1418" spans="1:9" ht="11.25" customHeight="1">
      <c r="A1418" s="1853" t="s">
        <v>2101</v>
      </c>
      <c r="B1418" s="1853" t="s">
        <v>0</v>
      </c>
      <c r="C1418" s="1853" t="s">
        <v>4638</v>
      </c>
      <c r="D1418" s="1853" t="s">
        <v>4639</v>
      </c>
      <c r="E1418" s="1853" t="s">
        <v>4640</v>
      </c>
      <c r="F1418" s="1853" t="s">
        <v>2528</v>
      </c>
      <c r="G1418" s="1853" t="s">
        <v>1</v>
      </c>
      <c r="H1418" s="1853" t="s">
        <v>1</v>
      </c>
      <c r="I1418" s="1853" t="s">
        <v>739</v>
      </c>
    </row>
    <row r="1419" spans="1:9" ht="11.25" customHeight="1">
      <c r="A1419" s="1853" t="s">
        <v>2101</v>
      </c>
      <c r="B1419" s="1853" t="s">
        <v>0</v>
      </c>
      <c r="C1419" s="1853" t="s">
        <v>4497</v>
      </c>
      <c r="D1419" s="1853" t="s">
        <v>4498</v>
      </c>
      <c r="E1419" s="1853" t="s">
        <v>4499</v>
      </c>
      <c r="F1419" s="1853" t="s">
        <v>2424</v>
      </c>
      <c r="G1419" s="1853" t="s">
        <v>4500</v>
      </c>
      <c r="H1419" s="1853" t="s">
        <v>1</v>
      </c>
      <c r="I1419" s="1853" t="s">
        <v>739</v>
      </c>
    </row>
    <row r="1420" spans="1:9" ht="11.25" customHeight="1">
      <c r="A1420" s="1853" t="s">
        <v>2101</v>
      </c>
      <c r="B1420" s="1853" t="s">
        <v>0</v>
      </c>
      <c r="C1420" s="1853" t="s">
        <v>3620</v>
      </c>
      <c r="D1420" s="1853" t="s">
        <v>3621</v>
      </c>
      <c r="E1420" s="1853" t="s">
        <v>3622</v>
      </c>
      <c r="F1420" s="1853" t="s">
        <v>2230</v>
      </c>
      <c r="G1420" s="1853" t="s">
        <v>1</v>
      </c>
      <c r="H1420" s="1853" t="s">
        <v>1</v>
      </c>
      <c r="I1420" s="1853" t="s">
        <v>739</v>
      </c>
    </row>
    <row r="1421" spans="1:9" ht="11.25" customHeight="1">
      <c r="A1421" s="1853" t="s">
        <v>2101</v>
      </c>
      <c r="B1421" s="1853" t="s">
        <v>0</v>
      </c>
      <c r="C1421" s="1853" t="s">
        <v>3626</v>
      </c>
      <c r="D1421" s="1853" t="s">
        <v>3627</v>
      </c>
      <c r="E1421" s="1853" t="s">
        <v>3628</v>
      </c>
      <c r="F1421" s="1853" t="s">
        <v>3501</v>
      </c>
      <c r="G1421" s="1853" t="s">
        <v>3629</v>
      </c>
      <c r="H1421" s="1853" t="s">
        <v>3630</v>
      </c>
      <c r="I1421" s="1853" t="s">
        <v>739</v>
      </c>
    </row>
    <row r="1422" spans="1:9" ht="11.25" customHeight="1">
      <c r="A1422" s="1853" t="s">
        <v>2101</v>
      </c>
      <c r="B1422" s="1853" t="s">
        <v>0</v>
      </c>
      <c r="C1422" s="1853" t="s">
        <v>4641</v>
      </c>
      <c r="D1422" s="1853" t="s">
        <v>4642</v>
      </c>
      <c r="E1422" s="1853" t="s">
        <v>4643</v>
      </c>
      <c r="F1422" s="1853" t="s">
        <v>2683</v>
      </c>
      <c r="G1422" s="1853" t="s">
        <v>1</v>
      </c>
      <c r="H1422" s="1853" t="s">
        <v>1</v>
      </c>
      <c r="I1422" s="1853" t="s">
        <v>739</v>
      </c>
    </row>
    <row r="1423" spans="1:9" ht="11.25" customHeight="1">
      <c r="A1423" s="1853" t="s">
        <v>2101</v>
      </c>
      <c r="B1423" s="1853" t="s">
        <v>0</v>
      </c>
      <c r="C1423" s="1853" t="s">
        <v>4501</v>
      </c>
      <c r="D1423" s="1853" t="s">
        <v>4502</v>
      </c>
      <c r="E1423" s="1853" t="s">
        <v>4503</v>
      </c>
      <c r="F1423" s="1853" t="s">
        <v>3501</v>
      </c>
      <c r="G1423" s="1853" t="s">
        <v>1</v>
      </c>
      <c r="H1423" s="1853" t="s">
        <v>1</v>
      </c>
      <c r="I1423" s="1853" t="s">
        <v>739</v>
      </c>
    </row>
    <row r="1424" spans="1:9" ht="11.25" customHeight="1">
      <c r="A1424" s="1853" t="s">
        <v>2101</v>
      </c>
      <c r="B1424" s="1853" t="s">
        <v>0</v>
      </c>
      <c r="C1424" s="1853" t="s">
        <v>3651</v>
      </c>
      <c r="D1424" s="1853" t="s">
        <v>3652</v>
      </c>
      <c r="E1424" s="1853" t="s">
        <v>3653</v>
      </c>
      <c r="F1424" s="1853" t="s">
        <v>2178</v>
      </c>
      <c r="G1424" s="1853" t="s">
        <v>1</v>
      </c>
      <c r="H1424" s="1853" t="s">
        <v>1</v>
      </c>
      <c r="I1424" s="1853" t="s">
        <v>739</v>
      </c>
    </row>
    <row r="1425" spans="1:9" ht="11.25" customHeight="1">
      <c r="A1425" s="1853" t="s">
        <v>2101</v>
      </c>
      <c r="B1425" s="1853" t="s">
        <v>0</v>
      </c>
      <c r="C1425" s="1853" t="s">
        <v>3654</v>
      </c>
      <c r="D1425" s="1853" t="s">
        <v>3655</v>
      </c>
      <c r="E1425" s="1853" t="s">
        <v>3656</v>
      </c>
      <c r="F1425" s="1853" t="s">
        <v>2613</v>
      </c>
      <c r="G1425" s="1853" t="s">
        <v>3657</v>
      </c>
      <c r="H1425" s="1853" t="s">
        <v>1</v>
      </c>
      <c r="I1425" s="1853" t="s">
        <v>739</v>
      </c>
    </row>
    <row r="1426" spans="1:9" ht="11.25" customHeight="1">
      <c r="A1426" s="1853" t="s">
        <v>2101</v>
      </c>
      <c r="B1426" s="1853" t="s">
        <v>0</v>
      </c>
      <c r="C1426" s="1853" t="s">
        <v>4644</v>
      </c>
      <c r="D1426" s="1853" t="s">
        <v>4645</v>
      </c>
      <c r="E1426" s="1853" t="s">
        <v>4646</v>
      </c>
      <c r="F1426" s="1853" t="s">
        <v>3087</v>
      </c>
      <c r="G1426" s="1853" t="s">
        <v>4647</v>
      </c>
      <c r="H1426" s="1853" t="s">
        <v>1</v>
      </c>
      <c r="I1426" s="1853" t="s">
        <v>739</v>
      </c>
    </row>
    <row r="1427" spans="1:9" ht="11.25" customHeight="1">
      <c r="A1427" s="1853" t="s">
        <v>2101</v>
      </c>
      <c r="B1427" s="1853" t="s">
        <v>0</v>
      </c>
      <c r="C1427" s="1853" t="s">
        <v>3672</v>
      </c>
      <c r="D1427" s="1853" t="s">
        <v>3673</v>
      </c>
      <c r="E1427" s="1853" t="s">
        <v>3674</v>
      </c>
      <c r="F1427" s="1853" t="s">
        <v>12</v>
      </c>
      <c r="G1427" s="1853" t="s">
        <v>3675</v>
      </c>
      <c r="H1427" s="1853" t="s">
        <v>1</v>
      </c>
      <c r="I1427" s="1853" t="s">
        <v>739</v>
      </c>
    </row>
    <row r="1428" spans="1:9" ht="11.25" customHeight="1">
      <c r="A1428" s="1853" t="s">
        <v>2101</v>
      </c>
      <c r="B1428" s="1853" t="s">
        <v>0</v>
      </c>
      <c r="C1428" s="1853" t="s">
        <v>3683</v>
      </c>
      <c r="D1428" s="1853" t="s">
        <v>3684</v>
      </c>
      <c r="E1428" s="1853" t="s">
        <v>3685</v>
      </c>
      <c r="F1428" s="1853" t="s">
        <v>12</v>
      </c>
      <c r="G1428" s="1853" t="s">
        <v>3686</v>
      </c>
      <c r="H1428" s="1853" t="s">
        <v>1</v>
      </c>
      <c r="I1428" s="1853" t="s">
        <v>739</v>
      </c>
    </row>
    <row r="1429" spans="1:9" ht="11.25" customHeight="1">
      <c r="A1429" s="1853" t="s">
        <v>2101</v>
      </c>
      <c r="B1429" s="1853" t="s">
        <v>0</v>
      </c>
      <c r="C1429" s="1853" t="s">
        <v>4648</v>
      </c>
      <c r="D1429" s="1853" t="s">
        <v>4649</v>
      </c>
      <c r="E1429" s="1853" t="s">
        <v>4650</v>
      </c>
      <c r="F1429" s="1853" t="s">
        <v>2132</v>
      </c>
      <c r="G1429" s="1853" t="s">
        <v>1</v>
      </c>
      <c r="H1429" s="1853" t="s">
        <v>1</v>
      </c>
      <c r="I1429" s="1853" t="s">
        <v>739</v>
      </c>
    </row>
    <row r="1430" spans="1:9" ht="11.25" customHeight="1">
      <c r="A1430" s="1853" t="s">
        <v>2101</v>
      </c>
      <c r="B1430" s="1853" t="s">
        <v>0</v>
      </c>
      <c r="C1430" s="1853" t="s">
        <v>4504</v>
      </c>
      <c r="D1430" s="1853" t="s">
        <v>4505</v>
      </c>
      <c r="E1430" s="1853" t="s">
        <v>4506</v>
      </c>
      <c r="F1430" s="1853" t="s">
        <v>2178</v>
      </c>
      <c r="G1430" s="1853" t="s">
        <v>4507</v>
      </c>
      <c r="H1430" s="1853" t="s">
        <v>1</v>
      </c>
      <c r="I1430" s="1853" t="s">
        <v>739</v>
      </c>
    </row>
    <row r="1431" spans="1:9" ht="11.25" customHeight="1">
      <c r="A1431" s="1853" t="s">
        <v>2101</v>
      </c>
      <c r="B1431" s="1853" t="s">
        <v>0</v>
      </c>
      <c r="C1431" s="1853" t="s">
        <v>3750</v>
      </c>
      <c r="D1431" s="1853" t="s">
        <v>3751</v>
      </c>
      <c r="E1431" s="1853" t="s">
        <v>3752</v>
      </c>
      <c r="F1431" s="1853" t="s">
        <v>2329</v>
      </c>
      <c r="G1431" s="1853" t="s">
        <v>3753</v>
      </c>
      <c r="H1431" s="1853" t="s">
        <v>1</v>
      </c>
      <c r="I1431" s="1853" t="s">
        <v>739</v>
      </c>
    </row>
    <row r="1432" spans="1:9" ht="11.25" customHeight="1">
      <c r="A1432" s="1853" t="s">
        <v>2101</v>
      </c>
      <c r="B1432" s="1853" t="s">
        <v>0</v>
      </c>
      <c r="C1432" s="1853" t="s">
        <v>3760</v>
      </c>
      <c r="D1432" s="1853" t="s">
        <v>3761</v>
      </c>
      <c r="E1432" s="1853" t="s">
        <v>3762</v>
      </c>
      <c r="F1432" s="1853" t="s">
        <v>2105</v>
      </c>
      <c r="G1432" s="1853" t="s">
        <v>1</v>
      </c>
      <c r="H1432" s="1853" t="s">
        <v>1</v>
      </c>
      <c r="I1432" s="1853" t="s">
        <v>739</v>
      </c>
    </row>
    <row r="1433" spans="1:9" ht="11.25" customHeight="1">
      <c r="A1433" s="1853" t="s">
        <v>2101</v>
      </c>
      <c r="B1433" s="1853" t="s">
        <v>0</v>
      </c>
      <c r="C1433" s="1853" t="s">
        <v>3763</v>
      </c>
      <c r="D1433" s="1853" t="s">
        <v>3764</v>
      </c>
      <c r="E1433" s="1853" t="s">
        <v>3765</v>
      </c>
      <c r="F1433" s="1853" t="s">
        <v>12</v>
      </c>
      <c r="G1433" s="1853" t="s">
        <v>3766</v>
      </c>
      <c r="H1433" s="1853" t="s">
        <v>1</v>
      </c>
      <c r="I1433" s="1853" t="s">
        <v>739</v>
      </c>
    </row>
    <row r="1434" spans="1:9" ht="11.25" customHeight="1">
      <c r="A1434" s="1853" t="s">
        <v>2101</v>
      </c>
      <c r="B1434" s="1853" t="s">
        <v>0</v>
      </c>
      <c r="C1434" s="1853" t="s">
        <v>3782</v>
      </c>
      <c r="D1434" s="1853" t="s">
        <v>3783</v>
      </c>
      <c r="E1434" s="1853" t="s">
        <v>3784</v>
      </c>
      <c r="F1434" s="1853" t="s">
        <v>2416</v>
      </c>
      <c r="G1434" s="1853" t="s">
        <v>3785</v>
      </c>
      <c r="H1434" s="1853" t="s">
        <v>1</v>
      </c>
      <c r="I1434" s="1853" t="s">
        <v>739</v>
      </c>
    </row>
    <row r="1435" spans="1:9" ht="11.25" customHeight="1">
      <c r="A1435" s="1853" t="s">
        <v>2101</v>
      </c>
      <c r="B1435" s="1853" t="s">
        <v>0</v>
      </c>
      <c r="C1435" s="1853" t="s">
        <v>3786</v>
      </c>
      <c r="D1435" s="1853" t="s">
        <v>3787</v>
      </c>
      <c r="E1435" s="1853" t="s">
        <v>3788</v>
      </c>
      <c r="F1435" s="1853" t="s">
        <v>2149</v>
      </c>
      <c r="G1435" s="1853" t="s">
        <v>1</v>
      </c>
      <c r="H1435" s="1853" t="s">
        <v>1</v>
      </c>
      <c r="I1435" s="1853" t="s">
        <v>739</v>
      </c>
    </row>
    <row r="1436" spans="1:9" ht="11.25" customHeight="1">
      <c r="A1436" s="1853" t="s">
        <v>2101</v>
      </c>
      <c r="B1436" s="1853" t="s">
        <v>0</v>
      </c>
      <c r="C1436" s="1853" t="s">
        <v>4651</v>
      </c>
      <c r="D1436" s="1853" t="s">
        <v>4652</v>
      </c>
      <c r="E1436" s="1853" t="s">
        <v>4653</v>
      </c>
      <c r="F1436" s="1853" t="s">
        <v>2178</v>
      </c>
      <c r="G1436" s="1853" t="s">
        <v>4627</v>
      </c>
      <c r="H1436" s="1853" t="s">
        <v>1</v>
      </c>
      <c r="I1436" s="1853" t="s">
        <v>739</v>
      </c>
    </row>
    <row r="1437" spans="1:9" ht="11.25" customHeight="1">
      <c r="A1437" s="1853" t="s">
        <v>2101</v>
      </c>
      <c r="B1437" s="1853" t="s">
        <v>0</v>
      </c>
      <c r="C1437" s="1853" t="s">
        <v>4654</v>
      </c>
      <c r="D1437" s="1853" t="s">
        <v>4655</v>
      </c>
      <c r="E1437" s="1853" t="s">
        <v>4656</v>
      </c>
      <c r="F1437" s="1853" t="s">
        <v>2255</v>
      </c>
      <c r="G1437" s="1853" t="s">
        <v>1</v>
      </c>
      <c r="H1437" s="1853" t="s">
        <v>1</v>
      </c>
      <c r="I1437" s="1853" t="s">
        <v>739</v>
      </c>
    </row>
    <row r="1438" spans="1:9" ht="11.25" customHeight="1">
      <c r="A1438" s="1853" t="s">
        <v>2101</v>
      </c>
      <c r="B1438" s="1853" t="s">
        <v>0</v>
      </c>
      <c r="C1438" s="1853" t="s">
        <v>3830</v>
      </c>
      <c r="D1438" s="1853" t="s">
        <v>3831</v>
      </c>
      <c r="E1438" s="1853" t="s">
        <v>3832</v>
      </c>
      <c r="F1438" s="1853" t="s">
        <v>12</v>
      </c>
      <c r="G1438" s="1853" t="s">
        <v>1</v>
      </c>
      <c r="H1438" s="1853" t="s">
        <v>1</v>
      </c>
      <c r="I1438" s="1853" t="s">
        <v>739</v>
      </c>
    </row>
    <row r="1439" spans="1:9" ht="11.25" customHeight="1">
      <c r="A1439" s="1853" t="s">
        <v>2101</v>
      </c>
      <c r="B1439" s="1853" t="s">
        <v>0</v>
      </c>
      <c r="C1439" s="1853" t="s">
        <v>4512</v>
      </c>
      <c r="D1439" s="1853" t="s">
        <v>4513</v>
      </c>
      <c r="E1439" s="1853" t="s">
        <v>4514</v>
      </c>
      <c r="F1439" s="1853" t="s">
        <v>3589</v>
      </c>
      <c r="G1439" s="1853" t="s">
        <v>4515</v>
      </c>
      <c r="H1439" s="1853" t="s">
        <v>1</v>
      </c>
      <c r="I1439" s="1853" t="s">
        <v>739</v>
      </c>
    </row>
    <row r="1440" spans="1:9" ht="11.25" customHeight="1">
      <c r="A1440" s="1853" t="s">
        <v>2101</v>
      </c>
      <c r="B1440" s="1853" t="s">
        <v>0</v>
      </c>
      <c r="C1440" s="1853" t="s">
        <v>4657</v>
      </c>
      <c r="D1440" s="1853" t="s">
        <v>4658</v>
      </c>
      <c r="E1440" s="1853" t="s">
        <v>4659</v>
      </c>
      <c r="F1440" s="1853" t="s">
        <v>2528</v>
      </c>
      <c r="G1440" s="1853" t="s">
        <v>4660</v>
      </c>
      <c r="H1440" s="1853" t="s">
        <v>1</v>
      </c>
      <c r="I1440" s="1853" t="s">
        <v>739</v>
      </c>
    </row>
    <row r="1441" spans="1:9" ht="11.25" customHeight="1">
      <c r="A1441" s="1853" t="s">
        <v>2101</v>
      </c>
      <c r="B1441" s="1853" t="s">
        <v>0</v>
      </c>
      <c r="C1441" s="1853" t="s">
        <v>4516</v>
      </c>
      <c r="D1441" s="1853" t="s">
        <v>4517</v>
      </c>
      <c r="E1441" s="1853" t="s">
        <v>4518</v>
      </c>
      <c r="F1441" s="1853" t="s">
        <v>2196</v>
      </c>
      <c r="G1441" s="1853" t="s">
        <v>1</v>
      </c>
      <c r="H1441" s="1853" t="s">
        <v>1</v>
      </c>
      <c r="I1441" s="1853" t="s">
        <v>739</v>
      </c>
    </row>
    <row r="1442" spans="1:9" ht="11.25" customHeight="1">
      <c r="A1442" s="1853" t="s">
        <v>2101</v>
      </c>
      <c r="B1442" s="1853" t="s">
        <v>0</v>
      </c>
      <c r="C1442" s="1853" t="s">
        <v>3854</v>
      </c>
      <c r="D1442" s="1853" t="s">
        <v>3855</v>
      </c>
      <c r="E1442" s="1853" t="s">
        <v>3856</v>
      </c>
      <c r="F1442" s="1853" t="s">
        <v>2416</v>
      </c>
      <c r="G1442" s="1853" t="s">
        <v>1</v>
      </c>
      <c r="H1442" s="1853" t="s">
        <v>1</v>
      </c>
      <c r="I1442" s="1853" t="s">
        <v>739</v>
      </c>
    </row>
    <row r="1443" spans="1:9" ht="11.25" customHeight="1">
      <c r="A1443" s="1853" t="s">
        <v>2101</v>
      </c>
      <c r="B1443" s="1853" t="s">
        <v>0</v>
      </c>
      <c r="C1443" s="1853" t="s">
        <v>3865</v>
      </c>
      <c r="D1443" s="1853" t="s">
        <v>3866</v>
      </c>
      <c r="E1443" s="1853" t="s">
        <v>3867</v>
      </c>
      <c r="F1443" s="1853" t="s">
        <v>2178</v>
      </c>
      <c r="G1443" s="1853" t="s">
        <v>1</v>
      </c>
      <c r="H1443" s="1853" t="s">
        <v>1</v>
      </c>
      <c r="I1443" s="1853" t="s">
        <v>739</v>
      </c>
    </row>
    <row r="1444" spans="1:9" ht="11.25" customHeight="1">
      <c r="A1444" s="1853" t="s">
        <v>2101</v>
      </c>
      <c r="B1444" s="1853" t="s">
        <v>0</v>
      </c>
      <c r="C1444" s="1853" t="s">
        <v>3875</v>
      </c>
      <c r="D1444" s="1853" t="s">
        <v>3876</v>
      </c>
      <c r="E1444" s="1853" t="s">
        <v>3877</v>
      </c>
      <c r="F1444" s="1853" t="s">
        <v>3878</v>
      </c>
      <c r="G1444" s="1853" t="s">
        <v>3879</v>
      </c>
      <c r="H1444" s="1853" t="s">
        <v>1</v>
      </c>
      <c r="I1444" s="1853" t="s">
        <v>739</v>
      </c>
    </row>
    <row r="1445" spans="1:9" ht="11.25" customHeight="1">
      <c r="A1445" s="1853" t="s">
        <v>2101</v>
      </c>
      <c r="B1445" s="1853" t="s">
        <v>0</v>
      </c>
      <c r="C1445" s="1853" t="s">
        <v>4661</v>
      </c>
      <c r="D1445" s="1853" t="s">
        <v>4662</v>
      </c>
      <c r="E1445" s="1853" t="s">
        <v>4663</v>
      </c>
      <c r="F1445" s="1853" t="s">
        <v>2178</v>
      </c>
      <c r="G1445" s="1853" t="s">
        <v>1</v>
      </c>
      <c r="H1445" s="1853" t="s">
        <v>1</v>
      </c>
      <c r="I1445" s="1853" t="s">
        <v>739</v>
      </c>
    </row>
    <row r="1446" spans="1:9" ht="11.25" customHeight="1">
      <c r="A1446" s="1853" t="s">
        <v>2101</v>
      </c>
      <c r="B1446" s="1853" t="s">
        <v>0</v>
      </c>
      <c r="C1446" s="1853" t="s">
        <v>3891</v>
      </c>
      <c r="D1446" s="1853" t="s">
        <v>3892</v>
      </c>
      <c r="E1446" s="1853" t="s">
        <v>3893</v>
      </c>
      <c r="F1446" s="1853" t="s">
        <v>2149</v>
      </c>
      <c r="G1446" s="1853" t="s">
        <v>1</v>
      </c>
      <c r="H1446" s="1853" t="s">
        <v>1</v>
      </c>
      <c r="I1446" s="1853" t="s">
        <v>739</v>
      </c>
    </row>
    <row r="1447" spans="1:9" ht="11.25" customHeight="1">
      <c r="A1447" s="1853" t="s">
        <v>2101</v>
      </c>
      <c r="B1447" s="1853" t="s">
        <v>0</v>
      </c>
      <c r="C1447" s="1853" t="s">
        <v>3897</v>
      </c>
      <c r="D1447" s="1853" t="s">
        <v>3898</v>
      </c>
      <c r="E1447" s="1853" t="s">
        <v>3899</v>
      </c>
      <c r="F1447" s="1853" t="s">
        <v>2105</v>
      </c>
      <c r="G1447" s="1853" t="s">
        <v>1</v>
      </c>
      <c r="H1447" s="1853" t="s">
        <v>3900</v>
      </c>
      <c r="I1447" s="1853" t="s">
        <v>739</v>
      </c>
    </row>
    <row r="1448" spans="1:9" ht="11.25" customHeight="1">
      <c r="A1448" s="1853" t="s">
        <v>2101</v>
      </c>
      <c r="B1448" s="1853" t="s">
        <v>0</v>
      </c>
      <c r="C1448" s="1853" t="s">
        <v>3932</v>
      </c>
      <c r="D1448" s="1853" t="s">
        <v>3933</v>
      </c>
      <c r="E1448" s="1853" t="s">
        <v>3934</v>
      </c>
      <c r="F1448" s="1853" t="s">
        <v>2211</v>
      </c>
      <c r="G1448" s="1853" t="s">
        <v>1</v>
      </c>
      <c r="H1448" s="1853" t="s">
        <v>1</v>
      </c>
      <c r="I1448" s="1853" t="s">
        <v>739</v>
      </c>
    </row>
    <row r="1449" spans="1:9" ht="11.25" customHeight="1">
      <c r="A1449" s="1853" t="s">
        <v>2101</v>
      </c>
      <c r="B1449" s="1853" t="s">
        <v>0</v>
      </c>
      <c r="C1449" s="1853" t="s">
        <v>3941</v>
      </c>
      <c r="D1449" s="1853" t="s">
        <v>3942</v>
      </c>
      <c r="E1449" s="1853" t="s">
        <v>3943</v>
      </c>
      <c r="F1449" s="1853" t="s">
        <v>2683</v>
      </c>
      <c r="G1449" s="1853" t="s">
        <v>3944</v>
      </c>
      <c r="H1449" s="1853" t="s">
        <v>1</v>
      </c>
      <c r="I1449" s="1853" t="s">
        <v>739</v>
      </c>
    </row>
    <row r="1450" spans="1:9" ht="11.25" customHeight="1">
      <c r="A1450" s="1853" t="s">
        <v>2101</v>
      </c>
      <c r="B1450" s="1853" t="s">
        <v>0</v>
      </c>
      <c r="C1450" s="1853" t="s">
        <v>3948</v>
      </c>
      <c r="D1450" s="1853" t="s">
        <v>3949</v>
      </c>
      <c r="E1450" s="1853" t="s">
        <v>3950</v>
      </c>
      <c r="F1450" s="1853" t="s">
        <v>2207</v>
      </c>
      <c r="G1450" s="1853" t="s">
        <v>1</v>
      </c>
      <c r="H1450" s="1853" t="s">
        <v>1</v>
      </c>
      <c r="I1450" s="1853" t="s">
        <v>739</v>
      </c>
    </row>
    <row r="1451" spans="1:9" ht="11.25" customHeight="1">
      <c r="A1451" s="1853" t="s">
        <v>2101</v>
      </c>
      <c r="B1451" s="1853" t="s">
        <v>0</v>
      </c>
      <c r="C1451" s="1853" t="s">
        <v>4523</v>
      </c>
      <c r="D1451" s="1853" t="s">
        <v>4524</v>
      </c>
      <c r="E1451" s="1853" t="s">
        <v>4525</v>
      </c>
      <c r="F1451" s="1853" t="s">
        <v>2173</v>
      </c>
      <c r="G1451" s="1853" t="s">
        <v>1</v>
      </c>
      <c r="H1451" s="1853" t="s">
        <v>1</v>
      </c>
      <c r="I1451" s="1853" t="s">
        <v>739</v>
      </c>
    </row>
    <row r="1452" spans="1:9" ht="11.25" customHeight="1">
      <c r="A1452" s="1853" t="s">
        <v>2101</v>
      </c>
      <c r="B1452" s="1853" t="s">
        <v>0</v>
      </c>
      <c r="C1452" s="1853" t="s">
        <v>3967</v>
      </c>
      <c r="D1452" s="1853" t="s">
        <v>3968</v>
      </c>
      <c r="E1452" s="1853" t="s">
        <v>3969</v>
      </c>
      <c r="F1452" s="1853" t="s">
        <v>2230</v>
      </c>
      <c r="G1452" s="1853" t="s">
        <v>3970</v>
      </c>
      <c r="H1452" s="1853" t="s">
        <v>1</v>
      </c>
      <c r="I1452" s="1853" t="s">
        <v>739</v>
      </c>
    </row>
    <row r="1453" spans="1:9" ht="11.25" customHeight="1">
      <c r="A1453" s="1853" t="s">
        <v>2101</v>
      </c>
      <c r="B1453" s="1853" t="s">
        <v>0</v>
      </c>
      <c r="C1453" s="1853" t="s">
        <v>3971</v>
      </c>
      <c r="D1453" s="1853" t="s">
        <v>3972</v>
      </c>
      <c r="E1453" s="1853" t="s">
        <v>2382</v>
      </c>
      <c r="F1453" s="1853" t="s">
        <v>3973</v>
      </c>
      <c r="G1453" s="1853" t="s">
        <v>1</v>
      </c>
      <c r="H1453" s="1853" t="s">
        <v>1</v>
      </c>
      <c r="I1453" s="1853" t="s">
        <v>739</v>
      </c>
    </row>
    <row r="1454" spans="1:9" ht="11.25" customHeight="1">
      <c r="A1454" s="1853" t="s">
        <v>2101</v>
      </c>
      <c r="B1454" s="1853" t="s">
        <v>0</v>
      </c>
      <c r="C1454" s="1853" t="s">
        <v>3987</v>
      </c>
      <c r="D1454" s="1853" t="s">
        <v>3988</v>
      </c>
      <c r="E1454" s="1853" t="s">
        <v>3989</v>
      </c>
      <c r="F1454" s="1853" t="s">
        <v>2196</v>
      </c>
      <c r="G1454" s="1853" t="s">
        <v>3574</v>
      </c>
      <c r="H1454" s="1853" t="s">
        <v>1</v>
      </c>
      <c r="I1454" s="1853" t="s">
        <v>739</v>
      </c>
    </row>
    <row r="1455" spans="1:9" ht="11.25" customHeight="1">
      <c r="A1455" s="1853" t="s">
        <v>2101</v>
      </c>
      <c r="B1455" s="1853" t="s">
        <v>0</v>
      </c>
      <c r="C1455" s="1853" t="s">
        <v>4005</v>
      </c>
      <c r="D1455" s="1853" t="s">
        <v>4006</v>
      </c>
      <c r="E1455" s="1853" t="s">
        <v>4007</v>
      </c>
      <c r="F1455" s="1853" t="s">
        <v>3019</v>
      </c>
      <c r="G1455" s="1853" t="s">
        <v>1</v>
      </c>
      <c r="H1455" s="1853" t="s">
        <v>1</v>
      </c>
      <c r="I1455" s="1853" t="s">
        <v>739</v>
      </c>
    </row>
    <row r="1456" spans="1:9" ht="11.25" customHeight="1">
      <c r="A1456" s="1853" t="s">
        <v>2101</v>
      </c>
      <c r="B1456" s="1853" t="s">
        <v>0</v>
      </c>
      <c r="C1456" s="1853" t="s">
        <v>4015</v>
      </c>
      <c r="D1456" s="1853" t="s">
        <v>4016</v>
      </c>
      <c r="E1456" s="1853" t="s">
        <v>4017</v>
      </c>
      <c r="F1456" s="1853" t="s">
        <v>4018</v>
      </c>
      <c r="G1456" s="1853" t="s">
        <v>1</v>
      </c>
      <c r="H1456" s="1853" t="s">
        <v>1</v>
      </c>
      <c r="I1456" s="1853" t="s">
        <v>739</v>
      </c>
    </row>
    <row r="1457" spans="1:9" ht="11.25" customHeight="1">
      <c r="A1457" s="1853" t="s">
        <v>2101</v>
      </c>
      <c r="B1457" s="1853" t="s">
        <v>0</v>
      </c>
      <c r="C1457" s="1853" t="s">
        <v>4019</v>
      </c>
      <c r="D1457" s="1853" t="s">
        <v>4020</v>
      </c>
      <c r="E1457" s="1853" t="s">
        <v>4021</v>
      </c>
      <c r="F1457" s="1853" t="s">
        <v>2416</v>
      </c>
      <c r="G1457" s="1853" t="s">
        <v>3574</v>
      </c>
      <c r="H1457" s="1853" t="s">
        <v>1</v>
      </c>
      <c r="I1457" s="1853" t="s">
        <v>739</v>
      </c>
    </row>
    <row r="1458" spans="1:9" ht="11.25" customHeight="1">
      <c r="A1458" s="1853" t="s">
        <v>2101</v>
      </c>
      <c r="B1458" s="1853" t="s">
        <v>0</v>
      </c>
      <c r="C1458" s="1853" t="s">
        <v>4026</v>
      </c>
      <c r="D1458" s="1853" t="s">
        <v>4027</v>
      </c>
      <c r="E1458" s="1853" t="s">
        <v>4028</v>
      </c>
      <c r="F1458" s="1853" t="s">
        <v>3878</v>
      </c>
      <c r="G1458" s="1853" t="s">
        <v>4029</v>
      </c>
      <c r="H1458" s="1853" t="s">
        <v>1</v>
      </c>
      <c r="I1458" s="1853" t="s">
        <v>739</v>
      </c>
    </row>
    <row r="1459" spans="1:9" ht="11.25" customHeight="1">
      <c r="A1459" s="1853" t="s">
        <v>2101</v>
      </c>
      <c r="B1459" s="1853" t="s">
        <v>0</v>
      </c>
      <c r="C1459" s="1853" t="s">
        <v>4033</v>
      </c>
      <c r="D1459" s="1853" t="s">
        <v>4034</v>
      </c>
      <c r="E1459" s="1853" t="s">
        <v>4035</v>
      </c>
      <c r="F1459" s="1853" t="s">
        <v>2159</v>
      </c>
      <c r="G1459" s="1853" t="s">
        <v>4036</v>
      </c>
      <c r="H1459" s="1853" t="s">
        <v>1</v>
      </c>
      <c r="I1459" s="1853" t="s">
        <v>739</v>
      </c>
    </row>
    <row r="1460" spans="1:9" ht="11.25" customHeight="1">
      <c r="A1460" s="1853" t="s">
        <v>2101</v>
      </c>
      <c r="B1460" s="1853" t="s">
        <v>0</v>
      </c>
      <c r="C1460" s="1853" t="s">
        <v>4529</v>
      </c>
      <c r="D1460" s="1853" t="s">
        <v>4530</v>
      </c>
      <c r="E1460" s="1853" t="s">
        <v>4531</v>
      </c>
      <c r="F1460" s="1853" t="s">
        <v>3019</v>
      </c>
      <c r="G1460" s="1853" t="s">
        <v>4532</v>
      </c>
      <c r="H1460" s="1853" t="s">
        <v>1</v>
      </c>
      <c r="I1460" s="1853" t="s">
        <v>739</v>
      </c>
    </row>
    <row r="1461" spans="1:9" ht="11.25" customHeight="1">
      <c r="A1461" s="1853" t="s">
        <v>2101</v>
      </c>
      <c r="B1461" s="1853" t="s">
        <v>0</v>
      </c>
      <c r="C1461" s="1853" t="s">
        <v>4046</v>
      </c>
      <c r="D1461" s="1853" t="s">
        <v>4047</v>
      </c>
      <c r="E1461" s="1853" t="s">
        <v>4048</v>
      </c>
      <c r="F1461" s="1853" t="s">
        <v>2207</v>
      </c>
      <c r="G1461" s="1853" t="s">
        <v>1</v>
      </c>
      <c r="H1461" s="1853" t="s">
        <v>1</v>
      </c>
      <c r="I1461" s="1853" t="s">
        <v>739</v>
      </c>
    </row>
    <row r="1462" spans="1:9" ht="11.25" customHeight="1">
      <c r="A1462" s="1853" t="s">
        <v>2101</v>
      </c>
      <c r="B1462" s="1853" t="s">
        <v>0</v>
      </c>
      <c r="C1462" s="1853" t="s">
        <v>4049</v>
      </c>
      <c r="D1462" s="1853" t="s">
        <v>4050</v>
      </c>
      <c r="E1462" s="1853" t="s">
        <v>4051</v>
      </c>
      <c r="F1462" s="1853" t="s">
        <v>2211</v>
      </c>
      <c r="G1462" s="1853" t="s">
        <v>4052</v>
      </c>
      <c r="H1462" s="1853" t="s">
        <v>1</v>
      </c>
      <c r="I1462" s="1853" t="s">
        <v>739</v>
      </c>
    </row>
    <row r="1463" spans="1:9" ht="11.25" customHeight="1">
      <c r="A1463" s="1853" t="s">
        <v>2101</v>
      </c>
      <c r="B1463" s="1853" t="s">
        <v>0</v>
      </c>
      <c r="C1463" s="1853" t="s">
        <v>4053</v>
      </c>
      <c r="D1463" s="1853" t="s">
        <v>4054</v>
      </c>
      <c r="E1463" s="1853" t="s">
        <v>4055</v>
      </c>
      <c r="F1463" s="1853" t="s">
        <v>2178</v>
      </c>
      <c r="G1463" s="1853" t="s">
        <v>4056</v>
      </c>
      <c r="H1463" s="1853" t="s">
        <v>1</v>
      </c>
      <c r="I1463" s="1853" t="s">
        <v>739</v>
      </c>
    </row>
    <row r="1464" spans="1:9" ht="11.25" customHeight="1">
      <c r="A1464" s="1853" t="s">
        <v>2101</v>
      </c>
      <c r="B1464" s="1853" t="s">
        <v>0</v>
      </c>
      <c r="C1464" s="1853" t="s">
        <v>4057</v>
      </c>
      <c r="D1464" s="1853" t="s">
        <v>4058</v>
      </c>
      <c r="E1464" s="1853" t="s">
        <v>4059</v>
      </c>
      <c r="F1464" s="1853" t="s">
        <v>3087</v>
      </c>
      <c r="G1464" s="1853" t="s">
        <v>4060</v>
      </c>
      <c r="H1464" s="1853" t="s">
        <v>1</v>
      </c>
      <c r="I1464" s="1853" t="s">
        <v>739</v>
      </c>
    </row>
    <row r="1465" spans="1:9" ht="11.25" customHeight="1">
      <c r="A1465" s="1853" t="s">
        <v>2101</v>
      </c>
      <c r="B1465" s="1853" t="s">
        <v>0</v>
      </c>
      <c r="C1465" s="1853" t="s">
        <v>4066</v>
      </c>
      <c r="D1465" s="1853" t="s">
        <v>4067</v>
      </c>
      <c r="E1465" s="1853" t="s">
        <v>4068</v>
      </c>
      <c r="F1465" s="1853" t="s">
        <v>2141</v>
      </c>
      <c r="G1465" s="1853" t="s">
        <v>4069</v>
      </c>
      <c r="H1465" s="1853" t="s">
        <v>1</v>
      </c>
      <c r="I1465" s="1853" t="s">
        <v>739</v>
      </c>
    </row>
    <row r="1466" spans="1:9" ht="11.25" customHeight="1">
      <c r="A1466" s="1853" t="s">
        <v>2101</v>
      </c>
      <c r="B1466" s="1853" t="s">
        <v>0</v>
      </c>
      <c r="C1466" s="1853" t="s">
        <v>4070</v>
      </c>
      <c r="D1466" s="1853" t="s">
        <v>4071</v>
      </c>
      <c r="E1466" s="1853" t="s">
        <v>4072</v>
      </c>
      <c r="F1466" s="1853" t="s">
        <v>2230</v>
      </c>
      <c r="G1466" s="1853" t="s">
        <v>1</v>
      </c>
      <c r="H1466" s="1853" t="s">
        <v>1</v>
      </c>
      <c r="I1466" s="1853" t="s">
        <v>739</v>
      </c>
    </row>
    <row r="1467" spans="1:9" ht="11.25" customHeight="1">
      <c r="A1467" s="1853" t="s">
        <v>2101</v>
      </c>
      <c r="B1467" s="1853" t="s">
        <v>0</v>
      </c>
      <c r="C1467" s="1853" t="s">
        <v>4079</v>
      </c>
      <c r="D1467" s="1853" t="s">
        <v>4080</v>
      </c>
      <c r="E1467" s="1853" t="s">
        <v>4081</v>
      </c>
      <c r="F1467" s="1853" t="s">
        <v>2379</v>
      </c>
      <c r="G1467" s="1853" t="s">
        <v>1</v>
      </c>
      <c r="H1467" s="1853" t="s">
        <v>1</v>
      </c>
      <c r="I1467" s="1853" t="s">
        <v>739</v>
      </c>
    </row>
    <row r="1468" spans="1:9" ht="11.25" customHeight="1">
      <c r="A1468" s="1853" t="s">
        <v>2101</v>
      </c>
      <c r="B1468" s="1853" t="s">
        <v>0</v>
      </c>
      <c r="C1468" s="1853" t="s">
        <v>4562</v>
      </c>
      <c r="D1468" s="1853" t="s">
        <v>4563</v>
      </c>
      <c r="E1468" s="1853" t="s">
        <v>4564</v>
      </c>
      <c r="F1468" s="1853" t="s">
        <v>3490</v>
      </c>
      <c r="G1468" s="1853" t="s">
        <v>4565</v>
      </c>
      <c r="H1468" s="1853" t="s">
        <v>1</v>
      </c>
      <c r="I1468" s="1853" t="s">
        <v>739</v>
      </c>
    </row>
    <row r="1469" spans="1:9" ht="11.25" customHeight="1">
      <c r="A1469" s="1853" t="s">
        <v>2101</v>
      </c>
      <c r="B1469" s="1853" t="s">
        <v>0</v>
      </c>
      <c r="C1469" s="1853" t="s">
        <v>4101</v>
      </c>
      <c r="D1469" s="1853" t="s">
        <v>4102</v>
      </c>
      <c r="E1469" s="1853" t="s">
        <v>4103</v>
      </c>
      <c r="F1469" s="1853" t="s">
        <v>2105</v>
      </c>
      <c r="G1469" s="1853" t="s">
        <v>4104</v>
      </c>
      <c r="H1469" s="1853" t="s">
        <v>1</v>
      </c>
      <c r="I1469" s="1853" t="s">
        <v>739</v>
      </c>
    </row>
    <row r="1470" spans="1:9" ht="11.25" customHeight="1">
      <c r="A1470" s="1853" t="s">
        <v>2101</v>
      </c>
      <c r="B1470" s="1853" t="s">
        <v>0</v>
      </c>
      <c r="C1470" s="1853" t="s">
        <v>4105</v>
      </c>
      <c r="D1470" s="1853" t="s">
        <v>4106</v>
      </c>
      <c r="E1470" s="1853" t="s">
        <v>4107</v>
      </c>
      <c r="F1470" s="1853" t="s">
        <v>4108</v>
      </c>
      <c r="G1470" s="1853" t="s">
        <v>1</v>
      </c>
      <c r="H1470" s="1853" t="s">
        <v>1</v>
      </c>
      <c r="I1470" s="1853" t="s">
        <v>739</v>
      </c>
    </row>
    <row r="1471" spans="1:9" ht="11.25" customHeight="1">
      <c r="A1471" s="1853" t="s">
        <v>2101</v>
      </c>
      <c r="B1471" s="1853" t="s">
        <v>0</v>
      </c>
      <c r="C1471" s="1853" t="s">
        <v>4141</v>
      </c>
      <c r="D1471" s="1853" t="s">
        <v>4142</v>
      </c>
      <c r="E1471" s="1853" t="s">
        <v>4143</v>
      </c>
      <c r="F1471" s="1853" t="s">
        <v>2196</v>
      </c>
      <c r="G1471" s="1853" t="s">
        <v>4144</v>
      </c>
      <c r="H1471" s="1853" t="s">
        <v>1</v>
      </c>
      <c r="I1471" s="1853" t="s">
        <v>739</v>
      </c>
    </row>
    <row r="1472" spans="1:9" ht="11.25" customHeight="1">
      <c r="A1472" s="1853" t="s">
        <v>2101</v>
      </c>
      <c r="B1472" s="1853" t="s">
        <v>0</v>
      </c>
      <c r="C1472" s="1853" t="s">
        <v>4145</v>
      </c>
      <c r="D1472" s="1853" t="s">
        <v>4146</v>
      </c>
      <c r="E1472" s="1853" t="s">
        <v>4147</v>
      </c>
      <c r="F1472" s="1853" t="s">
        <v>2416</v>
      </c>
      <c r="G1472" s="1853" t="s">
        <v>1</v>
      </c>
      <c r="H1472" s="1853" t="s">
        <v>1</v>
      </c>
      <c r="I1472" s="1853" t="s">
        <v>739</v>
      </c>
    </row>
    <row r="1473" spans="1:9" ht="11.25" customHeight="1">
      <c r="A1473" s="1853" t="s">
        <v>2101</v>
      </c>
      <c r="B1473" s="1853" t="s">
        <v>0</v>
      </c>
      <c r="C1473" s="1853" t="s">
        <v>4566</v>
      </c>
      <c r="D1473" s="1853" t="s">
        <v>4567</v>
      </c>
      <c r="E1473" s="1853" t="s">
        <v>4568</v>
      </c>
      <c r="F1473" s="1853" t="s">
        <v>2136</v>
      </c>
      <c r="G1473" s="1853" t="s">
        <v>1</v>
      </c>
      <c r="H1473" s="1853" t="s">
        <v>1</v>
      </c>
      <c r="I1473" s="1853" t="s">
        <v>739</v>
      </c>
    </row>
    <row r="1474" spans="1:9" ht="11.25" customHeight="1">
      <c r="A1474" s="1853" t="s">
        <v>2101</v>
      </c>
      <c r="B1474" s="1853" t="s">
        <v>0</v>
      </c>
      <c r="C1474" s="1853" t="s">
        <v>4664</v>
      </c>
      <c r="D1474" s="1853" t="s">
        <v>4665</v>
      </c>
      <c r="E1474" s="1853" t="s">
        <v>4666</v>
      </c>
      <c r="F1474" s="1853" t="s">
        <v>2416</v>
      </c>
      <c r="G1474" s="1853" t="s">
        <v>1</v>
      </c>
      <c r="H1474" s="1853" t="s">
        <v>1</v>
      </c>
      <c r="I1474" s="1853" t="s">
        <v>739</v>
      </c>
    </row>
    <row r="1475" spans="1:9" ht="11.25" customHeight="1">
      <c r="A1475" s="1853" t="s">
        <v>2101</v>
      </c>
      <c r="B1475" s="1853" t="s">
        <v>0</v>
      </c>
      <c r="C1475" s="1853" t="s">
        <v>4154</v>
      </c>
      <c r="D1475" s="1853" t="s">
        <v>4155</v>
      </c>
      <c r="E1475" s="1853" t="s">
        <v>4156</v>
      </c>
      <c r="F1475" s="1853" t="s">
        <v>3087</v>
      </c>
      <c r="G1475" s="1853" t="s">
        <v>1</v>
      </c>
      <c r="H1475" s="1853" t="s">
        <v>1</v>
      </c>
      <c r="I1475" s="1853" t="s">
        <v>739</v>
      </c>
    </row>
    <row r="1476" spans="1:9" ht="11.25" customHeight="1">
      <c r="A1476" s="1853" t="s">
        <v>2101</v>
      </c>
      <c r="B1476" s="1853" t="s">
        <v>0</v>
      </c>
      <c r="C1476" s="1853" t="s">
        <v>4157</v>
      </c>
      <c r="D1476" s="1853" t="s">
        <v>4158</v>
      </c>
      <c r="E1476" s="1853" t="s">
        <v>4063</v>
      </c>
      <c r="F1476" s="1853" t="s">
        <v>4159</v>
      </c>
      <c r="G1476" s="1853" t="s">
        <v>4160</v>
      </c>
      <c r="H1476" s="1853" t="s">
        <v>1</v>
      </c>
      <c r="I1476" s="1853" t="s">
        <v>739</v>
      </c>
    </row>
    <row r="1477" spans="1:9" ht="11.25" customHeight="1">
      <c r="A1477" s="1853" t="s">
        <v>2101</v>
      </c>
      <c r="B1477" s="1853" t="s">
        <v>0</v>
      </c>
      <c r="C1477" s="1853" t="s">
        <v>4161</v>
      </c>
      <c r="D1477" s="1853" t="s">
        <v>4162</v>
      </c>
      <c r="E1477" s="1853" t="s">
        <v>2415</v>
      </c>
      <c r="F1477" s="1853" t="s">
        <v>4163</v>
      </c>
      <c r="G1477" s="1853" t="s">
        <v>1</v>
      </c>
      <c r="H1477" s="1853" t="s">
        <v>1</v>
      </c>
      <c r="I1477" s="1853" t="s">
        <v>739</v>
      </c>
    </row>
    <row r="1478" spans="1:9" ht="11.25" customHeight="1">
      <c r="A1478" s="1853" t="s">
        <v>2101</v>
      </c>
      <c r="B1478" s="1853" t="s">
        <v>0</v>
      </c>
      <c r="C1478" s="1853" t="s">
        <v>4164</v>
      </c>
      <c r="D1478" s="1853" t="s">
        <v>4165</v>
      </c>
      <c r="E1478" s="1853" t="s">
        <v>2415</v>
      </c>
      <c r="F1478" s="1853" t="s">
        <v>2509</v>
      </c>
      <c r="G1478" s="1853" t="s">
        <v>4166</v>
      </c>
      <c r="H1478" s="1853" t="s">
        <v>1</v>
      </c>
      <c r="I1478" s="1853" t="s">
        <v>739</v>
      </c>
    </row>
    <row r="1479" spans="1:9" ht="11.25" customHeight="1">
      <c r="A1479" s="1853" t="s">
        <v>2101</v>
      </c>
      <c r="B1479" s="1853" t="s">
        <v>0</v>
      </c>
      <c r="C1479" s="1853" t="s">
        <v>4170</v>
      </c>
      <c r="D1479" s="1853" t="s">
        <v>4171</v>
      </c>
      <c r="E1479" s="1853" t="s">
        <v>4172</v>
      </c>
      <c r="F1479" s="1853" t="s">
        <v>4173</v>
      </c>
      <c r="G1479" s="1853" t="s">
        <v>4174</v>
      </c>
      <c r="H1479" s="1853" t="s">
        <v>1</v>
      </c>
      <c r="I1479" s="1853" t="s">
        <v>739</v>
      </c>
    </row>
    <row r="1480" spans="1:9" ht="11.25" customHeight="1">
      <c r="A1480" s="1853" t="s">
        <v>2101</v>
      </c>
      <c r="B1480" s="1853" t="s">
        <v>0</v>
      </c>
      <c r="C1480" s="1853" t="s">
        <v>4175</v>
      </c>
      <c r="D1480" s="1853" t="s">
        <v>4176</v>
      </c>
      <c r="E1480" s="1853" t="s">
        <v>4177</v>
      </c>
      <c r="F1480" s="1853" t="s">
        <v>4178</v>
      </c>
      <c r="G1480" s="1853" t="s">
        <v>1</v>
      </c>
      <c r="H1480" s="1853" t="s">
        <v>1</v>
      </c>
      <c r="I1480" s="1853" t="s">
        <v>739</v>
      </c>
    </row>
    <row r="1481" spans="1:9" ht="11.25" customHeight="1">
      <c r="A1481" s="1853" t="s">
        <v>2101</v>
      </c>
      <c r="B1481" s="1853" t="s">
        <v>0</v>
      </c>
      <c r="C1481" s="1853" t="s">
        <v>4667</v>
      </c>
      <c r="D1481" s="1853" t="s">
        <v>4668</v>
      </c>
      <c r="E1481" s="1853" t="s">
        <v>4669</v>
      </c>
      <c r="F1481" s="1853" t="s">
        <v>4670</v>
      </c>
      <c r="G1481" s="1853" t="s">
        <v>1</v>
      </c>
      <c r="H1481" s="1853" t="s">
        <v>1</v>
      </c>
      <c r="I1481" s="1853" t="s">
        <v>739</v>
      </c>
    </row>
    <row r="1482" spans="1:9" ht="11.25" customHeight="1">
      <c r="A1482" s="1853" t="s">
        <v>2101</v>
      </c>
      <c r="B1482" s="1853" t="s">
        <v>0</v>
      </c>
      <c r="C1482" s="1853" t="s">
        <v>4671</v>
      </c>
      <c r="D1482" s="1853" t="s">
        <v>4672</v>
      </c>
      <c r="E1482" s="1853" t="s">
        <v>4673</v>
      </c>
      <c r="F1482" s="1853" t="s">
        <v>2416</v>
      </c>
      <c r="G1482" s="1853" t="s">
        <v>1</v>
      </c>
      <c r="H1482" s="1853" t="s">
        <v>1</v>
      </c>
      <c r="I1482" s="1853" t="s">
        <v>1542</v>
      </c>
    </row>
    <row r="1483" spans="1:9" ht="11.25" customHeight="1">
      <c r="A1483" s="1853" t="s">
        <v>2101</v>
      </c>
      <c r="B1483" s="1853" t="s">
        <v>0</v>
      </c>
      <c r="C1483" s="1853" t="s">
        <v>2269</v>
      </c>
      <c r="D1483" s="1853" t="s">
        <v>2270</v>
      </c>
      <c r="E1483" s="1853" t="s">
        <v>2271</v>
      </c>
      <c r="F1483" s="1853" t="s">
        <v>2222</v>
      </c>
      <c r="G1483" s="1853" t="s">
        <v>2272</v>
      </c>
      <c r="H1483" s="1853" t="s">
        <v>1</v>
      </c>
      <c r="I1483" s="1853" t="s">
        <v>1542</v>
      </c>
    </row>
    <row r="1484" spans="1:9" ht="11.25" customHeight="1">
      <c r="A1484" s="1853" t="s">
        <v>2101</v>
      </c>
      <c r="B1484" s="1853" t="s">
        <v>0</v>
      </c>
      <c r="C1484" s="1853" t="s">
        <v>2481</v>
      </c>
      <c r="D1484" s="1853" t="s">
        <v>2482</v>
      </c>
      <c r="E1484" s="1853" t="s">
        <v>2483</v>
      </c>
      <c r="F1484" s="1853" t="s">
        <v>2141</v>
      </c>
      <c r="G1484" s="1853" t="s">
        <v>2484</v>
      </c>
      <c r="H1484" s="1853" t="s">
        <v>1</v>
      </c>
      <c r="I1484" s="1853" t="s">
        <v>1542</v>
      </c>
    </row>
    <row r="1485" spans="1:9" ht="11.25" customHeight="1">
      <c r="A1485" s="1853" t="s">
        <v>2101</v>
      </c>
      <c r="B1485" s="1853" t="s">
        <v>0</v>
      </c>
      <c r="C1485" s="1853" t="s">
        <v>4674</v>
      </c>
      <c r="D1485" s="1853" t="s">
        <v>4675</v>
      </c>
      <c r="E1485" s="1853" t="s">
        <v>4676</v>
      </c>
      <c r="F1485" s="1853" t="s">
        <v>3019</v>
      </c>
      <c r="G1485" s="1853" t="s">
        <v>4677</v>
      </c>
      <c r="H1485" s="1853" t="s">
        <v>4318</v>
      </c>
      <c r="I1485" s="1853" t="s">
        <v>1542</v>
      </c>
    </row>
    <row r="1486" spans="1:9" ht="11.25" customHeight="1">
      <c r="A1486" s="1853" t="s">
        <v>2101</v>
      </c>
      <c r="B1486" s="1853" t="s">
        <v>0</v>
      </c>
      <c r="C1486" s="1853" t="s">
        <v>4678</v>
      </c>
      <c r="D1486" s="1853" t="s">
        <v>4679</v>
      </c>
      <c r="E1486" s="1853" t="s">
        <v>4680</v>
      </c>
      <c r="F1486" s="1853" t="s">
        <v>2149</v>
      </c>
      <c r="G1486" s="1853" t="s">
        <v>1</v>
      </c>
      <c r="H1486" s="1853" t="s">
        <v>1</v>
      </c>
      <c r="I1486" s="1853" t="s">
        <v>1542</v>
      </c>
    </row>
    <row r="1487" spans="1:9" ht="11.25" customHeight="1">
      <c r="A1487" s="1853" t="s">
        <v>2101</v>
      </c>
      <c r="B1487" s="1853" t="s">
        <v>0</v>
      </c>
      <c r="C1487" s="1853" t="s">
        <v>4681</v>
      </c>
      <c r="D1487" s="1853" t="s">
        <v>4682</v>
      </c>
      <c r="E1487" s="1853" t="s">
        <v>4683</v>
      </c>
      <c r="F1487" s="1853" t="s">
        <v>493</v>
      </c>
      <c r="G1487" s="1853" t="s">
        <v>1</v>
      </c>
      <c r="H1487" s="1853" t="s">
        <v>1</v>
      </c>
      <c r="I1487" s="1853" t="s">
        <v>1542</v>
      </c>
    </row>
    <row r="1488" spans="1:9" ht="11.25" customHeight="1">
      <c r="A1488" s="1853" t="s">
        <v>2101</v>
      </c>
      <c r="B1488" s="1853" t="s">
        <v>0</v>
      </c>
      <c r="C1488" s="1853" t="s">
        <v>2677</v>
      </c>
      <c r="D1488" s="1853" t="s">
        <v>2678</v>
      </c>
      <c r="E1488" s="1853" t="s">
        <v>2679</v>
      </c>
      <c r="F1488" s="1853" t="s">
        <v>2239</v>
      </c>
      <c r="G1488" s="1853" t="s">
        <v>1</v>
      </c>
      <c r="H1488" s="1853" t="s">
        <v>1</v>
      </c>
      <c r="I1488" s="1853" t="s">
        <v>1542</v>
      </c>
    </row>
    <row r="1489" spans="1:9" ht="11.25" customHeight="1">
      <c r="A1489" s="1853" t="s">
        <v>2101</v>
      </c>
      <c r="B1489" s="1853" t="s">
        <v>0</v>
      </c>
      <c r="C1489" s="1853" t="s">
        <v>2721</v>
      </c>
      <c r="D1489" s="1853" t="s">
        <v>2722</v>
      </c>
      <c r="E1489" s="1853" t="s">
        <v>2723</v>
      </c>
      <c r="F1489" s="1853" t="s">
        <v>2572</v>
      </c>
      <c r="G1489" s="1853" t="s">
        <v>2724</v>
      </c>
      <c r="H1489" s="1853" t="s">
        <v>1</v>
      </c>
      <c r="I1489" s="1853" t="s">
        <v>1542</v>
      </c>
    </row>
    <row r="1490" spans="1:9" ht="11.25" customHeight="1">
      <c r="A1490" s="1853" t="s">
        <v>2101</v>
      </c>
      <c r="B1490" s="1853" t="s">
        <v>0</v>
      </c>
      <c r="C1490" s="1853" t="s">
        <v>4684</v>
      </c>
      <c r="D1490" s="1853" t="s">
        <v>4685</v>
      </c>
      <c r="E1490" s="1853" t="s">
        <v>4686</v>
      </c>
      <c r="F1490" s="1853" t="s">
        <v>2196</v>
      </c>
      <c r="G1490" s="1853" t="s">
        <v>4687</v>
      </c>
      <c r="H1490" s="1853" t="s">
        <v>1</v>
      </c>
      <c r="I1490" s="1853" t="s">
        <v>1542</v>
      </c>
    </row>
    <row r="1491" spans="1:9" ht="11.25" customHeight="1">
      <c r="A1491" s="1853" t="s">
        <v>2101</v>
      </c>
      <c r="B1491" s="1853" t="s">
        <v>0</v>
      </c>
      <c r="C1491" s="1853" t="s">
        <v>4688</v>
      </c>
      <c r="D1491" s="1853" t="s">
        <v>4689</v>
      </c>
      <c r="E1491" s="1853" t="s">
        <v>4690</v>
      </c>
      <c r="F1491" s="1853" t="s">
        <v>2187</v>
      </c>
      <c r="G1491" s="1853" t="s">
        <v>4691</v>
      </c>
      <c r="H1491" s="1853" t="s">
        <v>1</v>
      </c>
      <c r="I1491" s="1853" t="s">
        <v>1542</v>
      </c>
    </row>
    <row r="1492" spans="1:9" ht="11.25" customHeight="1">
      <c r="A1492" s="1853" t="s">
        <v>2101</v>
      </c>
      <c r="B1492" s="1853" t="s">
        <v>0</v>
      </c>
      <c r="C1492" s="1853" t="s">
        <v>4692</v>
      </c>
      <c r="D1492" s="1853" t="s">
        <v>4693</v>
      </c>
      <c r="E1492" s="1853" t="s">
        <v>4694</v>
      </c>
      <c r="F1492" s="1853" t="s">
        <v>2239</v>
      </c>
      <c r="G1492" s="1853" t="s">
        <v>1</v>
      </c>
      <c r="H1492" s="1853" t="s">
        <v>1</v>
      </c>
      <c r="I1492" s="1853" t="s">
        <v>1542</v>
      </c>
    </row>
    <row r="1493" spans="1:9" ht="11.25" customHeight="1">
      <c r="A1493" s="1853" t="s">
        <v>2101</v>
      </c>
      <c r="B1493" s="1853" t="s">
        <v>0</v>
      </c>
      <c r="C1493" s="1853" t="s">
        <v>2754</v>
      </c>
      <c r="D1493" s="1853" t="s">
        <v>2755</v>
      </c>
      <c r="E1493" s="1853" t="s">
        <v>2756</v>
      </c>
      <c r="F1493" s="1853" t="s">
        <v>2528</v>
      </c>
      <c r="G1493" s="1853" t="s">
        <v>2757</v>
      </c>
      <c r="H1493" s="1853" t="s">
        <v>1</v>
      </c>
      <c r="I1493" s="1853" t="s">
        <v>1542</v>
      </c>
    </row>
    <row r="1494" spans="1:9" ht="11.25" customHeight="1">
      <c r="A1494" s="1853" t="s">
        <v>2101</v>
      </c>
      <c r="B1494" s="1853" t="s">
        <v>0</v>
      </c>
      <c r="C1494" s="1853" t="s">
        <v>2758</v>
      </c>
      <c r="D1494" s="1853" t="s">
        <v>2759</v>
      </c>
      <c r="E1494" s="1853" t="s">
        <v>2760</v>
      </c>
      <c r="F1494" s="1853" t="s">
        <v>2528</v>
      </c>
      <c r="G1494" s="1853" t="s">
        <v>2761</v>
      </c>
      <c r="H1494" s="1853" t="s">
        <v>1</v>
      </c>
      <c r="I1494" s="1853" t="s">
        <v>1542</v>
      </c>
    </row>
    <row r="1495" spans="1:9" ht="11.25" customHeight="1">
      <c r="A1495" s="1853" t="s">
        <v>2101</v>
      </c>
      <c r="B1495" s="1853" t="s">
        <v>0</v>
      </c>
      <c r="C1495" s="1853" t="s">
        <v>2766</v>
      </c>
      <c r="D1495" s="1853" t="s">
        <v>2767</v>
      </c>
      <c r="E1495" s="1853" t="s">
        <v>2768</v>
      </c>
      <c r="F1495" s="1853" t="s">
        <v>2528</v>
      </c>
      <c r="G1495" s="1853" t="s">
        <v>1</v>
      </c>
      <c r="H1495" s="1853" t="s">
        <v>1</v>
      </c>
      <c r="I1495" s="1853" t="s">
        <v>1542</v>
      </c>
    </row>
    <row r="1496" spans="1:9" ht="11.25" customHeight="1">
      <c r="A1496" s="1853" t="s">
        <v>2101</v>
      </c>
      <c r="B1496" s="1853" t="s">
        <v>0</v>
      </c>
      <c r="C1496" s="1853" t="s">
        <v>4695</v>
      </c>
      <c r="D1496" s="1853" t="s">
        <v>4696</v>
      </c>
      <c r="E1496" s="1853" t="s">
        <v>4697</v>
      </c>
      <c r="F1496" s="1853" t="s">
        <v>4205</v>
      </c>
      <c r="G1496" s="1853" t="s">
        <v>1</v>
      </c>
      <c r="H1496" s="1853" t="s">
        <v>1</v>
      </c>
      <c r="I1496" s="1853" t="s">
        <v>1542</v>
      </c>
    </row>
    <row r="1497" spans="1:9" ht="11.25" customHeight="1">
      <c r="A1497" s="1853" t="s">
        <v>2101</v>
      </c>
      <c r="B1497" s="1853" t="s">
        <v>0</v>
      </c>
      <c r="C1497" s="1853" t="s">
        <v>4698</v>
      </c>
      <c r="D1497" s="1853" t="s">
        <v>4699</v>
      </c>
      <c r="E1497" s="1853" t="s">
        <v>4700</v>
      </c>
      <c r="F1497" s="1853" t="s">
        <v>4701</v>
      </c>
      <c r="G1497" s="1853" t="s">
        <v>1</v>
      </c>
      <c r="H1497" s="1853" t="s">
        <v>1</v>
      </c>
      <c r="I1497" s="1853" t="s">
        <v>1542</v>
      </c>
    </row>
    <row r="1498" spans="1:9" ht="11.25" customHeight="1">
      <c r="A1498" s="1853" t="s">
        <v>2101</v>
      </c>
      <c r="B1498" s="1853" t="s">
        <v>0</v>
      </c>
      <c r="C1498" s="1853" t="s">
        <v>4702</v>
      </c>
      <c r="D1498" s="1853" t="s">
        <v>4703</v>
      </c>
      <c r="E1498" s="1853" t="s">
        <v>4704</v>
      </c>
      <c r="F1498" s="1853" t="s">
        <v>4705</v>
      </c>
      <c r="G1498" s="1853" t="s">
        <v>1</v>
      </c>
      <c r="H1498" s="1853" t="s">
        <v>1</v>
      </c>
      <c r="I1498" s="1853" t="s">
        <v>1542</v>
      </c>
    </row>
    <row r="1499" spans="1:9" ht="11.25" customHeight="1">
      <c r="A1499" s="1853" t="s">
        <v>2101</v>
      </c>
      <c r="B1499" s="1853" t="s">
        <v>0</v>
      </c>
      <c r="C1499" s="1853" t="s">
        <v>4706</v>
      </c>
      <c r="D1499" s="1853" t="s">
        <v>4707</v>
      </c>
      <c r="E1499" s="1853" t="s">
        <v>4708</v>
      </c>
      <c r="F1499" s="1853" t="s">
        <v>2191</v>
      </c>
      <c r="G1499" s="1853" t="s">
        <v>1</v>
      </c>
      <c r="H1499" s="1853" t="s">
        <v>1</v>
      </c>
      <c r="I1499" s="1853" t="s">
        <v>1542</v>
      </c>
    </row>
    <row r="1500" spans="1:9" ht="11.25" customHeight="1">
      <c r="A1500" s="1853" t="s">
        <v>2101</v>
      </c>
      <c r="B1500" s="1853" t="s">
        <v>0</v>
      </c>
      <c r="C1500" s="1853" t="s">
        <v>4709</v>
      </c>
      <c r="D1500" s="1853" t="s">
        <v>4710</v>
      </c>
      <c r="E1500" s="1853" t="s">
        <v>4711</v>
      </c>
      <c r="F1500" s="1853" t="s">
        <v>4712</v>
      </c>
      <c r="G1500" s="1853" t="s">
        <v>1</v>
      </c>
      <c r="H1500" s="1853" t="s">
        <v>1</v>
      </c>
      <c r="I1500" s="1853" t="s">
        <v>1542</v>
      </c>
    </row>
    <row r="1501" spans="1:9" ht="11.25" customHeight="1">
      <c r="A1501" s="1853" t="s">
        <v>2101</v>
      </c>
      <c r="B1501" s="1853" t="s">
        <v>0</v>
      </c>
      <c r="C1501" s="1853" t="s">
        <v>4334</v>
      </c>
      <c r="D1501" s="1853" t="s">
        <v>4335</v>
      </c>
      <c r="E1501" s="1853" t="s">
        <v>4336</v>
      </c>
      <c r="F1501" s="1853" t="s">
        <v>2187</v>
      </c>
      <c r="G1501" s="1853" t="s">
        <v>4337</v>
      </c>
      <c r="H1501" s="1853" t="s">
        <v>1</v>
      </c>
      <c r="I1501" s="1853" t="s">
        <v>1542</v>
      </c>
    </row>
    <row r="1502" spans="1:9" ht="11.25" customHeight="1">
      <c r="A1502" s="1853" t="s">
        <v>2101</v>
      </c>
      <c r="B1502" s="1853" t="s">
        <v>0</v>
      </c>
      <c r="C1502" s="1853" t="s">
        <v>4713</v>
      </c>
      <c r="D1502" s="1853" t="s">
        <v>4714</v>
      </c>
      <c r="E1502" s="1853" t="s">
        <v>4715</v>
      </c>
      <c r="F1502" s="1853" t="s">
        <v>2424</v>
      </c>
      <c r="G1502" s="1853" t="s">
        <v>1</v>
      </c>
      <c r="H1502" s="1853" t="s">
        <v>1</v>
      </c>
      <c r="I1502" s="1853" t="s">
        <v>1542</v>
      </c>
    </row>
    <row r="1503" spans="1:9" ht="11.25" customHeight="1">
      <c r="A1503" s="1853" t="s">
        <v>2101</v>
      </c>
      <c r="B1503" s="1853" t="s">
        <v>0</v>
      </c>
      <c r="C1503" s="1853" t="s">
        <v>2799</v>
      </c>
      <c r="D1503" s="1853" t="s">
        <v>2800</v>
      </c>
      <c r="E1503" s="1853" t="s">
        <v>2801</v>
      </c>
      <c r="F1503" s="1853" t="s">
        <v>2141</v>
      </c>
      <c r="G1503" s="1853" t="s">
        <v>2802</v>
      </c>
      <c r="H1503" s="1853" t="s">
        <v>1</v>
      </c>
      <c r="I1503" s="1853" t="s">
        <v>1542</v>
      </c>
    </row>
    <row r="1504" spans="1:9" ht="11.25" customHeight="1">
      <c r="A1504" s="1853" t="s">
        <v>2101</v>
      </c>
      <c r="B1504" s="1853" t="s">
        <v>0</v>
      </c>
      <c r="C1504" s="1853" t="s">
        <v>2815</v>
      </c>
      <c r="D1504" s="1853" t="s">
        <v>2816</v>
      </c>
      <c r="E1504" s="1853" t="s">
        <v>2817</v>
      </c>
      <c r="F1504" s="1853" t="s">
        <v>2159</v>
      </c>
      <c r="G1504" s="1853" t="s">
        <v>1</v>
      </c>
      <c r="H1504" s="1853" t="s">
        <v>1</v>
      </c>
      <c r="I1504" s="1853" t="s">
        <v>1542</v>
      </c>
    </row>
    <row r="1505" spans="1:9" ht="11.25" customHeight="1">
      <c r="A1505" s="1853" t="s">
        <v>2101</v>
      </c>
      <c r="B1505" s="1853" t="s">
        <v>0</v>
      </c>
      <c r="C1505" s="1853" t="s">
        <v>2828</v>
      </c>
      <c r="D1505" s="1853" t="s">
        <v>2829</v>
      </c>
      <c r="E1505" s="1853" t="s">
        <v>2830</v>
      </c>
      <c r="F1505" s="1853" t="s">
        <v>2182</v>
      </c>
      <c r="G1505" s="1853" t="s">
        <v>2831</v>
      </c>
      <c r="H1505" s="1853" t="s">
        <v>1</v>
      </c>
      <c r="I1505" s="1853" t="s">
        <v>1542</v>
      </c>
    </row>
    <row r="1506" spans="1:9" ht="11.25" customHeight="1">
      <c r="A1506" s="1853" t="s">
        <v>2101</v>
      </c>
      <c r="B1506" s="1853" t="s">
        <v>0</v>
      </c>
      <c r="C1506" s="1853" t="s">
        <v>4716</v>
      </c>
      <c r="D1506" s="1853" t="s">
        <v>4717</v>
      </c>
      <c r="E1506" s="1853" t="s">
        <v>4718</v>
      </c>
      <c r="F1506" s="1853" t="s">
        <v>4712</v>
      </c>
      <c r="G1506" s="1853" t="s">
        <v>4719</v>
      </c>
      <c r="H1506" s="1853" t="s">
        <v>1</v>
      </c>
      <c r="I1506" s="1853" t="s">
        <v>1542</v>
      </c>
    </row>
    <row r="1507" spans="1:9" ht="11.25" customHeight="1">
      <c r="A1507" s="1853" t="s">
        <v>2101</v>
      </c>
      <c r="B1507" s="1853" t="s">
        <v>0</v>
      </c>
      <c r="C1507" s="1853" t="s">
        <v>4720</v>
      </c>
      <c r="D1507" s="1853" t="s">
        <v>4721</v>
      </c>
      <c r="E1507" s="1853" t="s">
        <v>4722</v>
      </c>
      <c r="F1507" s="1853" t="s">
        <v>2936</v>
      </c>
      <c r="G1507" s="1853" t="s">
        <v>1</v>
      </c>
      <c r="H1507" s="1853" t="s">
        <v>1</v>
      </c>
      <c r="I1507" s="1853" t="s">
        <v>1542</v>
      </c>
    </row>
    <row r="1508" spans="1:9" ht="11.25" customHeight="1">
      <c r="A1508" s="1853" t="s">
        <v>2101</v>
      </c>
      <c r="B1508" s="1853" t="s">
        <v>0</v>
      </c>
      <c r="C1508" s="1853" t="s">
        <v>4723</v>
      </c>
      <c r="D1508" s="1853" t="s">
        <v>4724</v>
      </c>
      <c r="E1508" s="1853" t="s">
        <v>4725</v>
      </c>
      <c r="F1508" s="1853" t="s">
        <v>3619</v>
      </c>
      <c r="G1508" s="1853" t="s">
        <v>1</v>
      </c>
      <c r="H1508" s="1853" t="s">
        <v>1</v>
      </c>
      <c r="I1508" s="1853" t="s">
        <v>1542</v>
      </c>
    </row>
    <row r="1509" spans="1:9" ht="11.25" customHeight="1">
      <c r="A1509" s="1853" t="s">
        <v>2101</v>
      </c>
      <c r="B1509" s="1853" t="s">
        <v>0</v>
      </c>
      <c r="C1509" s="1853" t="s">
        <v>4726</v>
      </c>
      <c r="D1509" s="1853" t="s">
        <v>4727</v>
      </c>
      <c r="E1509" s="1853" t="s">
        <v>4728</v>
      </c>
      <c r="F1509" s="1853" t="s">
        <v>2708</v>
      </c>
      <c r="G1509" s="1853" t="s">
        <v>1</v>
      </c>
      <c r="H1509" s="1853" t="s">
        <v>1</v>
      </c>
      <c r="I1509" s="1853" t="s">
        <v>1542</v>
      </c>
    </row>
    <row r="1510" spans="1:9" ht="11.25" customHeight="1">
      <c r="A1510" s="1853" t="s">
        <v>2101</v>
      </c>
      <c r="B1510" s="1853" t="s">
        <v>0</v>
      </c>
      <c r="C1510" s="1853" t="s">
        <v>4729</v>
      </c>
      <c r="D1510" s="1853" t="s">
        <v>4730</v>
      </c>
      <c r="E1510" s="1853" t="s">
        <v>4731</v>
      </c>
      <c r="F1510" s="1853" t="s">
        <v>2239</v>
      </c>
      <c r="G1510" s="1853" t="s">
        <v>1</v>
      </c>
      <c r="H1510" s="1853" t="s">
        <v>1</v>
      </c>
      <c r="I1510" s="1853" t="s">
        <v>1542</v>
      </c>
    </row>
    <row r="1511" spans="1:9" ht="11.25" customHeight="1">
      <c r="A1511" s="1853" t="s">
        <v>2101</v>
      </c>
      <c r="B1511" s="1853" t="s">
        <v>0</v>
      </c>
      <c r="C1511" s="1853" t="s">
        <v>2888</v>
      </c>
      <c r="D1511" s="1853" t="s">
        <v>2889</v>
      </c>
      <c r="E1511" s="1853" t="s">
        <v>2890</v>
      </c>
      <c r="F1511" s="1853" t="s">
        <v>2132</v>
      </c>
      <c r="G1511" s="1853" t="s">
        <v>2891</v>
      </c>
      <c r="H1511" s="1853" t="s">
        <v>1</v>
      </c>
      <c r="I1511" s="1853" t="s">
        <v>1542</v>
      </c>
    </row>
    <row r="1512" spans="1:9" ht="11.25" customHeight="1">
      <c r="A1512" s="1853" t="s">
        <v>2101</v>
      </c>
      <c r="B1512" s="1853" t="s">
        <v>0</v>
      </c>
      <c r="C1512" s="1853" t="s">
        <v>2906</v>
      </c>
      <c r="D1512" s="1853" t="s">
        <v>2907</v>
      </c>
      <c r="E1512" s="1853" t="s">
        <v>2908</v>
      </c>
      <c r="F1512" s="1853" t="s">
        <v>2187</v>
      </c>
      <c r="G1512" s="1853" t="s">
        <v>2909</v>
      </c>
      <c r="H1512" s="1853" t="s">
        <v>1</v>
      </c>
      <c r="I1512" s="1853" t="s">
        <v>1542</v>
      </c>
    </row>
    <row r="1513" spans="1:9" ht="11.25" customHeight="1">
      <c r="A1513" s="1853" t="s">
        <v>2101</v>
      </c>
      <c r="B1513" s="1853" t="s">
        <v>0</v>
      </c>
      <c r="C1513" s="1853" t="s">
        <v>4732</v>
      </c>
      <c r="D1513" s="1853" t="s">
        <v>4733</v>
      </c>
      <c r="E1513" s="1853" t="s">
        <v>4734</v>
      </c>
      <c r="F1513" s="1853" t="s">
        <v>2141</v>
      </c>
      <c r="G1513" s="1853" t="s">
        <v>1</v>
      </c>
      <c r="H1513" s="1853" t="s">
        <v>1</v>
      </c>
      <c r="I1513" s="1853" t="s">
        <v>1542</v>
      </c>
    </row>
    <row r="1514" spans="1:9" ht="11.25" customHeight="1">
      <c r="A1514" s="1853" t="s">
        <v>2101</v>
      </c>
      <c r="B1514" s="1853" t="s">
        <v>0</v>
      </c>
      <c r="C1514" s="1853" t="s">
        <v>4735</v>
      </c>
      <c r="D1514" s="1853" t="s">
        <v>4736</v>
      </c>
      <c r="E1514" s="1853" t="s">
        <v>4737</v>
      </c>
      <c r="F1514" s="1853" t="s">
        <v>2600</v>
      </c>
      <c r="G1514" s="1853" t="s">
        <v>1</v>
      </c>
      <c r="H1514" s="1853" t="s">
        <v>1</v>
      </c>
      <c r="I1514" s="1853" t="s">
        <v>1542</v>
      </c>
    </row>
    <row r="1515" spans="1:9" ht="11.25" customHeight="1">
      <c r="A1515" s="1853" t="s">
        <v>2101</v>
      </c>
      <c r="B1515" s="1853" t="s">
        <v>0</v>
      </c>
      <c r="C1515" s="1853" t="s">
        <v>4738</v>
      </c>
      <c r="D1515" s="1853" t="s">
        <v>4739</v>
      </c>
      <c r="E1515" s="1853" t="s">
        <v>4740</v>
      </c>
      <c r="F1515" s="1853" t="s">
        <v>2187</v>
      </c>
      <c r="G1515" s="1853" t="s">
        <v>1</v>
      </c>
      <c r="H1515" s="1853" t="s">
        <v>1</v>
      </c>
      <c r="I1515" s="1853" t="s">
        <v>1542</v>
      </c>
    </row>
    <row r="1516" spans="1:9" ht="11.25" customHeight="1">
      <c r="A1516" s="1853" t="s">
        <v>2101</v>
      </c>
      <c r="B1516" s="1853" t="s">
        <v>0</v>
      </c>
      <c r="C1516" s="1853" t="s">
        <v>3012</v>
      </c>
      <c r="D1516" s="1853" t="s">
        <v>3013</v>
      </c>
      <c r="E1516" s="1853" t="s">
        <v>3014</v>
      </c>
      <c r="F1516" s="1853" t="s">
        <v>2424</v>
      </c>
      <c r="G1516" s="1853" t="s">
        <v>3015</v>
      </c>
      <c r="H1516" s="1853" t="s">
        <v>1</v>
      </c>
      <c r="I1516" s="1853" t="s">
        <v>1542</v>
      </c>
    </row>
    <row r="1517" spans="1:9" ht="11.25" customHeight="1">
      <c r="A1517" s="1853" t="s">
        <v>2101</v>
      </c>
      <c r="B1517" s="1853" t="s">
        <v>0</v>
      </c>
      <c r="C1517" s="1853" t="s">
        <v>4741</v>
      </c>
      <c r="D1517" s="1853" t="s">
        <v>4742</v>
      </c>
      <c r="E1517" s="1853" t="s">
        <v>4743</v>
      </c>
      <c r="F1517" s="1853" t="s">
        <v>2187</v>
      </c>
      <c r="G1517" s="1853" t="s">
        <v>1</v>
      </c>
      <c r="H1517" s="1853" t="s">
        <v>1</v>
      </c>
      <c r="I1517" s="1853" t="s">
        <v>1542</v>
      </c>
    </row>
    <row r="1518" spans="1:9" ht="11.25" customHeight="1">
      <c r="A1518" s="1853" t="s">
        <v>2101</v>
      </c>
      <c r="B1518" s="1853" t="s">
        <v>0</v>
      </c>
      <c r="C1518" s="1853" t="s">
        <v>3034</v>
      </c>
      <c r="D1518" s="1853" t="s">
        <v>3035</v>
      </c>
      <c r="E1518" s="1853" t="s">
        <v>3036</v>
      </c>
      <c r="F1518" s="1853" t="s">
        <v>2105</v>
      </c>
      <c r="G1518" s="1853" t="s">
        <v>3037</v>
      </c>
      <c r="H1518" s="1853" t="s">
        <v>1</v>
      </c>
      <c r="I1518" s="1853" t="s">
        <v>1542</v>
      </c>
    </row>
    <row r="1519" spans="1:9" ht="11.25" customHeight="1">
      <c r="A1519" s="1853" t="s">
        <v>2101</v>
      </c>
      <c r="B1519" s="1853" t="s">
        <v>0</v>
      </c>
      <c r="C1519" s="1853" t="s">
        <v>3042</v>
      </c>
      <c r="D1519" s="1853" t="s">
        <v>3043</v>
      </c>
      <c r="E1519" s="1853" t="s">
        <v>3044</v>
      </c>
      <c r="F1519" s="1853" t="s">
        <v>2105</v>
      </c>
      <c r="G1519" s="1853" t="s">
        <v>3045</v>
      </c>
      <c r="H1519" s="1853" t="s">
        <v>1</v>
      </c>
      <c r="I1519" s="1853" t="s">
        <v>1542</v>
      </c>
    </row>
    <row r="1520" spans="1:9" ht="11.25" customHeight="1">
      <c r="A1520" s="1853" t="s">
        <v>2101</v>
      </c>
      <c r="B1520" s="1853" t="s">
        <v>0</v>
      </c>
      <c r="C1520" s="1853" t="s">
        <v>3053</v>
      </c>
      <c r="D1520" s="1853" t="s">
        <v>3054</v>
      </c>
      <c r="E1520" s="1853" t="s">
        <v>3055</v>
      </c>
      <c r="F1520" s="1853" t="s">
        <v>2132</v>
      </c>
      <c r="G1520" s="1853" t="s">
        <v>1</v>
      </c>
      <c r="H1520" s="1853" t="s">
        <v>1</v>
      </c>
      <c r="I1520" s="1853" t="s">
        <v>1542</v>
      </c>
    </row>
    <row r="1521" spans="1:9" ht="11.25" customHeight="1">
      <c r="A1521" s="1853" t="s">
        <v>2101</v>
      </c>
      <c r="B1521" s="1853" t="s">
        <v>0</v>
      </c>
      <c r="C1521" s="1853" t="s">
        <v>3056</v>
      </c>
      <c r="D1521" s="1853" t="s">
        <v>3057</v>
      </c>
      <c r="E1521" s="1853" t="s">
        <v>3058</v>
      </c>
      <c r="F1521" s="1853" t="s">
        <v>2424</v>
      </c>
      <c r="G1521" s="1853" t="s">
        <v>3059</v>
      </c>
      <c r="H1521" s="1853" t="s">
        <v>1</v>
      </c>
      <c r="I1521" s="1853" t="s">
        <v>1542</v>
      </c>
    </row>
    <row r="1522" spans="1:9" ht="11.25" customHeight="1">
      <c r="A1522" s="1853" t="s">
        <v>2101</v>
      </c>
      <c r="B1522" s="1853" t="s">
        <v>0</v>
      </c>
      <c r="C1522" s="1853" t="s">
        <v>3060</v>
      </c>
      <c r="D1522" s="1853" t="s">
        <v>3061</v>
      </c>
      <c r="E1522" s="1853" t="s">
        <v>3062</v>
      </c>
      <c r="F1522" s="1853" t="s">
        <v>2424</v>
      </c>
      <c r="G1522" s="1853" t="s">
        <v>3063</v>
      </c>
      <c r="H1522" s="1853" t="s">
        <v>1</v>
      </c>
      <c r="I1522" s="1853" t="s">
        <v>1542</v>
      </c>
    </row>
    <row r="1523" spans="1:9" ht="11.25" customHeight="1">
      <c r="A1523" s="1853" t="s">
        <v>2101</v>
      </c>
      <c r="B1523" s="1853" t="s">
        <v>0</v>
      </c>
      <c r="C1523" s="1853" t="s">
        <v>3076</v>
      </c>
      <c r="D1523" s="1853" t="s">
        <v>3077</v>
      </c>
      <c r="E1523" s="1853" t="s">
        <v>3078</v>
      </c>
      <c r="F1523" s="1853" t="s">
        <v>3079</v>
      </c>
      <c r="G1523" s="1853" t="s">
        <v>3080</v>
      </c>
      <c r="H1523" s="1853" t="s">
        <v>1</v>
      </c>
      <c r="I1523" s="1853" t="s">
        <v>1542</v>
      </c>
    </row>
    <row r="1524" spans="1:9" ht="11.25" customHeight="1">
      <c r="A1524" s="1853" t="s">
        <v>2101</v>
      </c>
      <c r="B1524" s="1853" t="s">
        <v>0</v>
      </c>
      <c r="C1524" s="1853" t="s">
        <v>4744</v>
      </c>
      <c r="D1524" s="1853" t="s">
        <v>4745</v>
      </c>
      <c r="E1524" s="1853" t="s">
        <v>4746</v>
      </c>
      <c r="F1524" s="1853" t="s">
        <v>2230</v>
      </c>
      <c r="G1524" s="1853" t="s">
        <v>1</v>
      </c>
      <c r="H1524" s="1853" t="s">
        <v>1</v>
      </c>
      <c r="I1524" s="1853" t="s">
        <v>1542</v>
      </c>
    </row>
    <row r="1525" spans="1:9" ht="11.25" customHeight="1">
      <c r="A1525" s="1853" t="s">
        <v>2101</v>
      </c>
      <c r="B1525" s="1853" t="s">
        <v>0</v>
      </c>
      <c r="C1525" s="1853" t="s">
        <v>4747</v>
      </c>
      <c r="D1525" s="1853" t="s">
        <v>4748</v>
      </c>
      <c r="E1525" s="1853" t="s">
        <v>4749</v>
      </c>
      <c r="F1525" s="1853" t="s">
        <v>2230</v>
      </c>
      <c r="G1525" s="1853" t="s">
        <v>1</v>
      </c>
      <c r="H1525" s="1853" t="s">
        <v>1</v>
      </c>
      <c r="I1525" s="1853" t="s">
        <v>1542</v>
      </c>
    </row>
    <row r="1526" spans="1:9" ht="11.25" customHeight="1">
      <c r="A1526" s="1853" t="s">
        <v>2101</v>
      </c>
      <c r="B1526" s="1853" t="s">
        <v>0</v>
      </c>
      <c r="C1526" s="1853" t="s">
        <v>4750</v>
      </c>
      <c r="D1526" s="1853" t="s">
        <v>4751</v>
      </c>
      <c r="E1526" s="1853" t="s">
        <v>4752</v>
      </c>
      <c r="F1526" s="1853" t="s">
        <v>2141</v>
      </c>
      <c r="G1526" s="1853" t="s">
        <v>1</v>
      </c>
      <c r="H1526" s="1853" t="s">
        <v>1</v>
      </c>
      <c r="I1526" s="1853" t="s">
        <v>1542</v>
      </c>
    </row>
    <row r="1527" spans="1:9" ht="11.25" customHeight="1">
      <c r="A1527" s="1853" t="s">
        <v>2101</v>
      </c>
      <c r="B1527" s="1853" t="s">
        <v>0</v>
      </c>
      <c r="C1527" s="1853" t="s">
        <v>4753</v>
      </c>
      <c r="D1527" s="1853" t="s">
        <v>4754</v>
      </c>
      <c r="E1527" s="1853" t="s">
        <v>4755</v>
      </c>
      <c r="F1527" s="1853" t="s">
        <v>2105</v>
      </c>
      <c r="G1527" s="1853" t="s">
        <v>1</v>
      </c>
      <c r="H1527" s="1853" t="s">
        <v>1</v>
      </c>
      <c r="I1527" s="1853" t="s">
        <v>1542</v>
      </c>
    </row>
    <row r="1528" spans="1:9" ht="11.25" customHeight="1">
      <c r="A1528" s="1853" t="s">
        <v>2101</v>
      </c>
      <c r="B1528" s="1853" t="s">
        <v>0</v>
      </c>
      <c r="C1528" s="1853" t="s">
        <v>4756</v>
      </c>
      <c r="D1528" s="1853" t="s">
        <v>4757</v>
      </c>
      <c r="E1528" s="1853" t="s">
        <v>4758</v>
      </c>
      <c r="F1528" s="1853" t="s">
        <v>2222</v>
      </c>
      <c r="G1528" s="1853" t="s">
        <v>1</v>
      </c>
      <c r="H1528" s="1853" t="s">
        <v>1</v>
      </c>
      <c r="I1528" s="1853" t="s">
        <v>1542</v>
      </c>
    </row>
    <row r="1529" spans="1:9" ht="11.25" customHeight="1">
      <c r="A1529" s="1853" t="s">
        <v>2101</v>
      </c>
      <c r="B1529" s="1853" t="s">
        <v>0</v>
      </c>
      <c r="C1529" s="1853" t="s">
        <v>4759</v>
      </c>
      <c r="D1529" s="1853" t="s">
        <v>4760</v>
      </c>
      <c r="E1529" s="1853" t="s">
        <v>4761</v>
      </c>
      <c r="F1529" s="1853" t="s">
        <v>2329</v>
      </c>
      <c r="G1529" s="1853" t="s">
        <v>1</v>
      </c>
      <c r="H1529" s="1853" t="s">
        <v>1</v>
      </c>
      <c r="I1529" s="1853" t="s">
        <v>1542</v>
      </c>
    </row>
    <row r="1530" spans="1:9" ht="11.25" customHeight="1">
      <c r="A1530" s="1853" t="s">
        <v>2101</v>
      </c>
      <c r="B1530" s="1853" t="s">
        <v>0</v>
      </c>
      <c r="C1530" s="1853" t="s">
        <v>4762</v>
      </c>
      <c r="D1530" s="1853" t="s">
        <v>4763</v>
      </c>
      <c r="E1530" s="1853" t="s">
        <v>4764</v>
      </c>
      <c r="F1530" s="1853" t="s">
        <v>2222</v>
      </c>
      <c r="G1530" s="1853" t="s">
        <v>1</v>
      </c>
      <c r="H1530" s="1853" t="s">
        <v>1</v>
      </c>
      <c r="I1530" s="1853" t="s">
        <v>1542</v>
      </c>
    </row>
    <row r="1531" spans="1:9" ht="11.25" customHeight="1">
      <c r="A1531" s="1853" t="s">
        <v>2101</v>
      </c>
      <c r="B1531" s="1853" t="s">
        <v>0</v>
      </c>
      <c r="C1531" s="1853" t="s">
        <v>4765</v>
      </c>
      <c r="D1531" s="1853" t="s">
        <v>4766</v>
      </c>
      <c r="E1531" s="1853" t="s">
        <v>4767</v>
      </c>
      <c r="F1531" s="1853" t="s">
        <v>2105</v>
      </c>
      <c r="G1531" s="1853" t="s">
        <v>1</v>
      </c>
      <c r="H1531" s="1853" t="s">
        <v>1</v>
      </c>
      <c r="I1531" s="1853" t="s">
        <v>1542</v>
      </c>
    </row>
    <row r="1532" spans="1:9" ht="11.25" customHeight="1">
      <c r="A1532" s="1853" t="s">
        <v>2101</v>
      </c>
      <c r="B1532" s="1853" t="s">
        <v>0</v>
      </c>
      <c r="C1532" s="1853" t="s">
        <v>4768</v>
      </c>
      <c r="D1532" s="1853" t="s">
        <v>4769</v>
      </c>
      <c r="E1532" s="1853" t="s">
        <v>4770</v>
      </c>
      <c r="F1532" s="1853" t="s">
        <v>2222</v>
      </c>
      <c r="G1532" s="1853" t="s">
        <v>1</v>
      </c>
      <c r="H1532" s="1853" t="s">
        <v>1</v>
      </c>
      <c r="I1532" s="1853" t="s">
        <v>1542</v>
      </c>
    </row>
    <row r="1533" spans="1:9" ht="11.25" customHeight="1">
      <c r="A1533" s="1853" t="s">
        <v>2101</v>
      </c>
      <c r="B1533" s="1853" t="s">
        <v>0</v>
      </c>
      <c r="C1533" s="1853" t="s">
        <v>4771</v>
      </c>
      <c r="D1533" s="1853" t="s">
        <v>4772</v>
      </c>
      <c r="E1533" s="1853" t="s">
        <v>4773</v>
      </c>
      <c r="F1533" s="1853" t="s">
        <v>2230</v>
      </c>
      <c r="G1533" s="1853" t="s">
        <v>1</v>
      </c>
      <c r="H1533" s="1853" t="s">
        <v>1</v>
      </c>
      <c r="I1533" s="1853" t="s">
        <v>1542</v>
      </c>
    </row>
    <row r="1534" spans="1:9" ht="11.25" customHeight="1">
      <c r="A1534" s="1853" t="s">
        <v>2101</v>
      </c>
      <c r="B1534" s="1853" t="s">
        <v>0</v>
      </c>
      <c r="C1534" s="1853" t="s">
        <v>4774</v>
      </c>
      <c r="D1534" s="1853" t="s">
        <v>4775</v>
      </c>
      <c r="E1534" s="1853" t="s">
        <v>4776</v>
      </c>
      <c r="F1534" s="1853" t="s">
        <v>2222</v>
      </c>
      <c r="G1534" s="1853" t="s">
        <v>1</v>
      </c>
      <c r="H1534" s="1853" t="s">
        <v>1</v>
      </c>
      <c r="I1534" s="1853" t="s">
        <v>1542</v>
      </c>
    </row>
    <row r="1535" spans="1:9" ht="11.25" customHeight="1">
      <c r="A1535" s="1853" t="s">
        <v>2101</v>
      </c>
      <c r="B1535" s="1853" t="s">
        <v>0</v>
      </c>
      <c r="C1535" s="1853" t="s">
        <v>4777</v>
      </c>
      <c r="D1535" s="1853" t="s">
        <v>4778</v>
      </c>
      <c r="E1535" s="1853" t="s">
        <v>4779</v>
      </c>
      <c r="F1535" s="1853" t="s">
        <v>2745</v>
      </c>
      <c r="G1535" s="1853" t="s">
        <v>1</v>
      </c>
      <c r="H1535" s="1853" t="s">
        <v>1</v>
      </c>
      <c r="I1535" s="1853" t="s">
        <v>1542</v>
      </c>
    </row>
    <row r="1536" spans="1:9" ht="11.25" customHeight="1">
      <c r="A1536" s="1853" t="s">
        <v>2101</v>
      </c>
      <c r="B1536" s="1853" t="s">
        <v>0</v>
      </c>
      <c r="C1536" s="1853" t="s">
        <v>4780</v>
      </c>
      <c r="D1536" s="1853" t="s">
        <v>4781</v>
      </c>
      <c r="E1536" s="1853" t="s">
        <v>4782</v>
      </c>
      <c r="F1536" s="1853" t="s">
        <v>2196</v>
      </c>
      <c r="G1536" s="1853" t="s">
        <v>1</v>
      </c>
      <c r="H1536" s="1853" t="s">
        <v>1</v>
      </c>
      <c r="I1536" s="1853" t="s">
        <v>1542</v>
      </c>
    </row>
    <row r="1537" spans="1:9" ht="11.25" customHeight="1">
      <c r="A1537" s="1853" t="s">
        <v>2101</v>
      </c>
      <c r="B1537" s="1853" t="s">
        <v>0</v>
      </c>
      <c r="C1537" s="1853" t="s">
        <v>4783</v>
      </c>
      <c r="D1537" s="1853" t="s">
        <v>4784</v>
      </c>
      <c r="E1537" s="1853" t="s">
        <v>4785</v>
      </c>
      <c r="F1537" s="1853" t="s">
        <v>3589</v>
      </c>
      <c r="G1537" s="1853" t="s">
        <v>1</v>
      </c>
      <c r="H1537" s="1853" t="s">
        <v>1</v>
      </c>
      <c r="I1537" s="1853" t="s">
        <v>1542</v>
      </c>
    </row>
    <row r="1538" spans="1:9" ht="11.25" customHeight="1">
      <c r="A1538" s="1853" t="s">
        <v>2101</v>
      </c>
      <c r="B1538" s="1853" t="s">
        <v>0</v>
      </c>
      <c r="C1538" s="1853" t="s">
        <v>4628</v>
      </c>
      <c r="D1538" s="1853" t="s">
        <v>4629</v>
      </c>
      <c r="E1538" s="1853" t="s">
        <v>4630</v>
      </c>
      <c r="F1538" s="1853" t="s">
        <v>2424</v>
      </c>
      <c r="G1538" s="1853" t="s">
        <v>1</v>
      </c>
      <c r="H1538" s="1853" t="s">
        <v>4631</v>
      </c>
      <c r="I1538" s="1853" t="s">
        <v>1542</v>
      </c>
    </row>
    <row r="1539" spans="1:9" ht="11.25" customHeight="1">
      <c r="A1539" s="1853" t="s">
        <v>2101</v>
      </c>
      <c r="B1539" s="1853" t="s">
        <v>0</v>
      </c>
      <c r="C1539" s="1853" t="s">
        <v>4786</v>
      </c>
      <c r="D1539" s="1853" t="s">
        <v>4787</v>
      </c>
      <c r="E1539" s="1853" t="s">
        <v>4788</v>
      </c>
      <c r="F1539" s="1853" t="s">
        <v>3490</v>
      </c>
      <c r="G1539" s="1853" t="s">
        <v>1</v>
      </c>
      <c r="H1539" s="1853" t="s">
        <v>1</v>
      </c>
      <c r="I1539" s="1853" t="s">
        <v>1542</v>
      </c>
    </row>
    <row r="1540" spans="1:9" ht="11.25" customHeight="1">
      <c r="A1540" s="1853" t="s">
        <v>2101</v>
      </c>
      <c r="B1540" s="1853" t="s">
        <v>0</v>
      </c>
      <c r="C1540" s="1853" t="s">
        <v>4789</v>
      </c>
      <c r="D1540" s="1853" t="s">
        <v>4790</v>
      </c>
      <c r="E1540" s="1853" t="s">
        <v>4791</v>
      </c>
      <c r="F1540" s="1853" t="s">
        <v>2551</v>
      </c>
      <c r="G1540" s="1853" t="s">
        <v>1</v>
      </c>
      <c r="H1540" s="1853" t="s">
        <v>1</v>
      </c>
      <c r="I1540" s="1853" t="s">
        <v>1542</v>
      </c>
    </row>
    <row r="1541" spans="1:9" ht="11.25" customHeight="1">
      <c r="A1541" s="1853" t="s">
        <v>2101</v>
      </c>
      <c r="B1541" s="1853" t="s">
        <v>0</v>
      </c>
      <c r="C1541" s="1853" t="s">
        <v>4792</v>
      </c>
      <c r="D1541" s="1853" t="s">
        <v>4793</v>
      </c>
      <c r="E1541" s="1853" t="s">
        <v>4794</v>
      </c>
      <c r="F1541" s="1853" t="s">
        <v>3425</v>
      </c>
      <c r="G1541" s="1853" t="s">
        <v>1</v>
      </c>
      <c r="H1541" s="1853" t="s">
        <v>1</v>
      </c>
      <c r="I1541" s="1853" t="s">
        <v>1542</v>
      </c>
    </row>
    <row r="1542" spans="1:9" ht="11.25" customHeight="1">
      <c r="A1542" s="1853" t="s">
        <v>2101</v>
      </c>
      <c r="B1542" s="1853" t="s">
        <v>0</v>
      </c>
      <c r="C1542" s="1853" t="s">
        <v>4795</v>
      </c>
      <c r="D1542" s="1853" t="s">
        <v>4796</v>
      </c>
      <c r="E1542" s="1853" t="s">
        <v>4797</v>
      </c>
      <c r="F1542" s="1853" t="s">
        <v>4798</v>
      </c>
      <c r="G1542" s="1853" t="s">
        <v>1</v>
      </c>
      <c r="H1542" s="1853" t="s">
        <v>1</v>
      </c>
      <c r="I1542" s="1853" t="s">
        <v>1542</v>
      </c>
    </row>
    <row r="1543" spans="1:9" ht="11.25" customHeight="1">
      <c r="A1543" s="1853" t="s">
        <v>2101</v>
      </c>
      <c r="B1543" s="1853" t="s">
        <v>0</v>
      </c>
      <c r="C1543" s="1853" t="s">
        <v>4799</v>
      </c>
      <c r="D1543" s="1853" t="s">
        <v>4800</v>
      </c>
      <c r="E1543" s="1853" t="s">
        <v>4801</v>
      </c>
      <c r="F1543" s="1853" t="s">
        <v>2141</v>
      </c>
      <c r="G1543" s="1853" t="s">
        <v>1</v>
      </c>
      <c r="H1543" s="1853" t="s">
        <v>1</v>
      </c>
      <c r="I1543" s="1853" t="s">
        <v>1542</v>
      </c>
    </row>
    <row r="1544" spans="1:9" ht="11.25" customHeight="1">
      <c r="A1544" s="1853" t="s">
        <v>2101</v>
      </c>
      <c r="B1544" s="1853" t="s">
        <v>0</v>
      </c>
      <c r="C1544" s="1853" t="s">
        <v>4802</v>
      </c>
      <c r="D1544" s="1853" t="s">
        <v>4803</v>
      </c>
      <c r="E1544" s="1853" t="s">
        <v>4804</v>
      </c>
      <c r="F1544" s="1853" t="s">
        <v>2329</v>
      </c>
      <c r="G1544" s="1853" t="s">
        <v>1</v>
      </c>
      <c r="H1544" s="1853" t="s">
        <v>1</v>
      </c>
      <c r="I1544" s="1853" t="s">
        <v>1542</v>
      </c>
    </row>
    <row r="1545" spans="1:9" ht="11.25" customHeight="1">
      <c r="A1545" s="1853" t="s">
        <v>2101</v>
      </c>
      <c r="B1545" s="1853" t="s">
        <v>0</v>
      </c>
      <c r="C1545" s="1853" t="s">
        <v>4805</v>
      </c>
      <c r="D1545" s="1853" t="s">
        <v>4806</v>
      </c>
      <c r="E1545" s="1853" t="s">
        <v>4807</v>
      </c>
      <c r="F1545" s="1853" t="s">
        <v>4798</v>
      </c>
      <c r="G1545" s="1853" t="s">
        <v>1</v>
      </c>
      <c r="H1545" s="1853" t="s">
        <v>1</v>
      </c>
      <c r="I1545" s="1853" t="s">
        <v>1542</v>
      </c>
    </row>
    <row r="1546" spans="1:9" ht="11.25" customHeight="1">
      <c r="A1546" s="1853" t="s">
        <v>2101</v>
      </c>
      <c r="B1546" s="1853" t="s">
        <v>0</v>
      </c>
      <c r="C1546" s="1853" t="s">
        <v>4808</v>
      </c>
      <c r="D1546" s="1853" t="s">
        <v>4809</v>
      </c>
      <c r="E1546" s="1853" t="s">
        <v>4810</v>
      </c>
      <c r="F1546" s="1853" t="s">
        <v>2149</v>
      </c>
      <c r="G1546" s="1853" t="s">
        <v>1</v>
      </c>
      <c r="H1546" s="1853" t="s">
        <v>1</v>
      </c>
      <c r="I1546" s="1853" t="s">
        <v>1542</v>
      </c>
    </row>
    <row r="1547" spans="1:9" ht="11.25" customHeight="1">
      <c r="A1547" s="1853" t="s">
        <v>2101</v>
      </c>
      <c r="B1547" s="1853" t="s">
        <v>0</v>
      </c>
      <c r="C1547" s="1853" t="s">
        <v>4811</v>
      </c>
      <c r="D1547" s="1853" t="s">
        <v>4812</v>
      </c>
      <c r="E1547" s="1853" t="s">
        <v>4813</v>
      </c>
      <c r="F1547" s="1853" t="s">
        <v>2141</v>
      </c>
      <c r="G1547" s="1853" t="s">
        <v>1</v>
      </c>
      <c r="H1547" s="1853" t="s">
        <v>1</v>
      </c>
      <c r="I1547" s="1853" t="s">
        <v>1542</v>
      </c>
    </row>
    <row r="1548" spans="1:9" ht="11.25" customHeight="1">
      <c r="A1548" s="1853" t="s">
        <v>2101</v>
      </c>
      <c r="B1548" s="1853" t="s">
        <v>0</v>
      </c>
      <c r="C1548" s="1853" t="s">
        <v>4814</v>
      </c>
      <c r="D1548" s="1853" t="s">
        <v>4815</v>
      </c>
      <c r="E1548" s="1853" t="s">
        <v>4816</v>
      </c>
      <c r="F1548" s="1853" t="s">
        <v>2990</v>
      </c>
      <c r="G1548" s="1853" t="s">
        <v>1</v>
      </c>
      <c r="H1548" s="1853" t="s">
        <v>1</v>
      </c>
      <c r="I1548" s="1853" t="s">
        <v>1542</v>
      </c>
    </row>
    <row r="1549" spans="1:9" ht="11.25" customHeight="1">
      <c r="A1549" s="1853" t="s">
        <v>2101</v>
      </c>
      <c r="B1549" s="1853" t="s">
        <v>0</v>
      </c>
      <c r="C1549" s="1853" t="s">
        <v>4817</v>
      </c>
      <c r="D1549" s="1853" t="s">
        <v>4818</v>
      </c>
      <c r="E1549" s="1853" t="s">
        <v>4819</v>
      </c>
      <c r="F1549" s="1853" t="s">
        <v>2329</v>
      </c>
      <c r="G1549" s="1853" t="s">
        <v>1</v>
      </c>
      <c r="H1549" s="1853" t="s">
        <v>1</v>
      </c>
      <c r="I1549" s="1853" t="s">
        <v>1542</v>
      </c>
    </row>
    <row r="1550" spans="1:9" ht="11.25" customHeight="1">
      <c r="A1550" s="1853" t="s">
        <v>2101</v>
      </c>
      <c r="B1550" s="1853" t="s">
        <v>0</v>
      </c>
      <c r="C1550" s="1853" t="s">
        <v>4820</v>
      </c>
      <c r="D1550" s="1853" t="s">
        <v>4821</v>
      </c>
      <c r="E1550" s="1853" t="s">
        <v>4822</v>
      </c>
      <c r="F1550" s="1853" t="s">
        <v>3619</v>
      </c>
      <c r="G1550" s="1853" t="s">
        <v>1</v>
      </c>
      <c r="H1550" s="1853" t="s">
        <v>1</v>
      </c>
      <c r="I1550" s="1853" t="s">
        <v>1542</v>
      </c>
    </row>
    <row r="1551" spans="1:9" ht="11.25" customHeight="1">
      <c r="A1551" s="1853" t="s">
        <v>2101</v>
      </c>
      <c r="B1551" s="1853" t="s">
        <v>0</v>
      </c>
      <c r="C1551" s="1853" t="s">
        <v>4823</v>
      </c>
      <c r="D1551" s="1853" t="s">
        <v>4824</v>
      </c>
      <c r="E1551" s="1853" t="s">
        <v>4825</v>
      </c>
      <c r="F1551" s="1853" t="s">
        <v>2141</v>
      </c>
      <c r="G1551" s="1853" t="s">
        <v>1</v>
      </c>
      <c r="H1551" s="1853" t="s">
        <v>1</v>
      </c>
      <c r="I1551" s="1853" t="s">
        <v>1542</v>
      </c>
    </row>
    <row r="1552" spans="1:9" ht="11.25" customHeight="1">
      <c r="A1552" s="1853" t="s">
        <v>2101</v>
      </c>
      <c r="B1552" s="1853" t="s">
        <v>0</v>
      </c>
      <c r="C1552" s="1853" t="s">
        <v>4826</v>
      </c>
      <c r="D1552" s="1853" t="s">
        <v>4827</v>
      </c>
      <c r="E1552" s="1853" t="s">
        <v>4828</v>
      </c>
      <c r="F1552" s="1853" t="s">
        <v>2149</v>
      </c>
      <c r="G1552" s="1853" t="s">
        <v>1</v>
      </c>
      <c r="H1552" s="1853" t="s">
        <v>1</v>
      </c>
      <c r="I1552" s="1853" t="s">
        <v>1542</v>
      </c>
    </row>
    <row r="1553" spans="1:9" ht="11.25" customHeight="1">
      <c r="A1553" s="1853" t="s">
        <v>2101</v>
      </c>
      <c r="B1553" s="1853" t="s">
        <v>0</v>
      </c>
      <c r="C1553" s="1853" t="s">
        <v>4829</v>
      </c>
      <c r="D1553" s="1853" t="s">
        <v>4830</v>
      </c>
      <c r="E1553" s="1853" t="s">
        <v>4831</v>
      </c>
      <c r="F1553" s="1853" t="s">
        <v>2132</v>
      </c>
      <c r="G1553" s="1853" t="s">
        <v>1</v>
      </c>
      <c r="H1553" s="1853" t="s">
        <v>1</v>
      </c>
      <c r="I1553" s="1853" t="s">
        <v>1542</v>
      </c>
    </row>
    <row r="1554" spans="1:9" ht="11.25" customHeight="1">
      <c r="A1554" s="1853" t="s">
        <v>2101</v>
      </c>
      <c r="B1554" s="1853" t="s">
        <v>0</v>
      </c>
      <c r="C1554" s="1853" t="s">
        <v>4832</v>
      </c>
      <c r="D1554" s="1853" t="s">
        <v>4833</v>
      </c>
      <c r="E1554" s="1853" t="s">
        <v>4834</v>
      </c>
      <c r="F1554" s="1853" t="s">
        <v>2741</v>
      </c>
      <c r="G1554" s="1853" t="s">
        <v>1</v>
      </c>
      <c r="H1554" s="1853" t="s">
        <v>1</v>
      </c>
      <c r="I1554" s="1853" t="s">
        <v>1542</v>
      </c>
    </row>
    <row r="1555" spans="1:9" ht="11.25" customHeight="1">
      <c r="A1555" s="1853" t="s">
        <v>2101</v>
      </c>
      <c r="B1555" s="1853" t="s">
        <v>0</v>
      </c>
      <c r="C1555" s="1853" t="s">
        <v>4835</v>
      </c>
      <c r="D1555" s="1853" t="s">
        <v>4836</v>
      </c>
      <c r="E1555" s="1853" t="s">
        <v>4837</v>
      </c>
      <c r="F1555" s="1853" t="s">
        <v>2141</v>
      </c>
      <c r="G1555" s="1853" t="s">
        <v>1</v>
      </c>
      <c r="H1555" s="1853" t="s">
        <v>1</v>
      </c>
      <c r="I1555" s="1853" t="s">
        <v>1542</v>
      </c>
    </row>
    <row r="1556" spans="1:9" ht="11.25" customHeight="1">
      <c r="A1556" s="1853" t="s">
        <v>2101</v>
      </c>
      <c r="B1556" s="1853" t="s">
        <v>0</v>
      </c>
      <c r="C1556" s="1853" t="s">
        <v>4838</v>
      </c>
      <c r="D1556" s="1853" t="s">
        <v>4839</v>
      </c>
      <c r="E1556" s="1853" t="s">
        <v>4840</v>
      </c>
      <c r="F1556" s="1853" t="s">
        <v>4798</v>
      </c>
      <c r="G1556" s="1853" t="s">
        <v>1</v>
      </c>
      <c r="H1556" s="1853" t="s">
        <v>1</v>
      </c>
      <c r="I1556" s="1853" t="s">
        <v>1542</v>
      </c>
    </row>
    <row r="1557" spans="1:9" ht="11.25" customHeight="1">
      <c r="A1557" s="1853" t="s">
        <v>2101</v>
      </c>
      <c r="B1557" s="1853" t="s">
        <v>0</v>
      </c>
      <c r="C1557" s="1853" t="s">
        <v>4841</v>
      </c>
      <c r="D1557" s="1853" t="s">
        <v>4842</v>
      </c>
      <c r="E1557" s="1853" t="s">
        <v>4843</v>
      </c>
      <c r="F1557" s="1853" t="s">
        <v>2708</v>
      </c>
      <c r="G1557" s="1853" t="s">
        <v>1</v>
      </c>
      <c r="H1557" s="1853" t="s">
        <v>1</v>
      </c>
      <c r="I1557" s="1853" t="s">
        <v>1542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G96"/>
  <sheetViews>
    <sheetView showGridLines="0" workbookViewId="0"/>
  </sheetViews>
  <sheetFormatPr defaultRowHeight="11.25" customHeight="1"/>
  <cols>
    <col min="1" max="1" width="9.140625" style="1829"/>
  </cols>
  <sheetData>
    <row r="1" spans="1:7" ht="11.25" customHeight="1">
      <c r="A1" s="257" t="s">
        <v>4844</v>
      </c>
      <c r="B1" s="1" t="s">
        <v>4845</v>
      </c>
      <c r="C1" s="1" t="s">
        <v>4846</v>
      </c>
      <c r="D1" s="1" t="s">
        <v>4847</v>
      </c>
      <c r="E1" t="s">
        <v>4848</v>
      </c>
      <c r="F1" t="s">
        <v>4849</v>
      </c>
      <c r="G1" t="s">
        <v>4850</v>
      </c>
    </row>
    <row r="2" spans="1:7" ht="11.25" customHeight="1">
      <c r="A2" s="257" t="s">
        <v>0</v>
      </c>
      <c r="B2" t="s">
        <v>4851</v>
      </c>
      <c r="C2" t="s">
        <v>4852</v>
      </c>
      <c r="D2" t="s">
        <v>4851</v>
      </c>
      <c r="E2" t="s">
        <v>4852</v>
      </c>
      <c r="F2" t="s">
        <v>4853</v>
      </c>
      <c r="G2" t="s">
        <v>43</v>
      </c>
    </row>
    <row r="3" spans="1:7" ht="11.25" customHeight="1">
      <c r="A3" s="257" t="s">
        <v>0</v>
      </c>
      <c r="B3" t="s">
        <v>4854</v>
      </c>
      <c r="C3" t="s">
        <v>4855</v>
      </c>
      <c r="D3" t="s">
        <v>4854</v>
      </c>
      <c r="E3" t="s">
        <v>4855</v>
      </c>
      <c r="F3" t="s">
        <v>4853</v>
      </c>
      <c r="G3" t="s">
        <v>44</v>
      </c>
    </row>
    <row r="4" spans="1:7" ht="11.25" customHeight="1">
      <c r="A4" s="257" t="s">
        <v>0</v>
      </c>
      <c r="B4" t="s">
        <v>4856</v>
      </c>
      <c r="C4" t="s">
        <v>4857</v>
      </c>
      <c r="D4" t="s">
        <v>4856</v>
      </c>
      <c r="E4" t="s">
        <v>4857</v>
      </c>
      <c r="F4" t="s">
        <v>4853</v>
      </c>
      <c r="G4" t="s">
        <v>24</v>
      </c>
    </row>
    <row r="5" spans="1:7" ht="11.25" customHeight="1">
      <c r="A5" s="257" t="s">
        <v>0</v>
      </c>
      <c r="B5" t="s">
        <v>4858</v>
      </c>
      <c r="C5" t="s">
        <v>4859</v>
      </c>
      <c r="D5" t="s">
        <v>4858</v>
      </c>
      <c r="E5" t="s">
        <v>4859</v>
      </c>
      <c r="F5" t="s">
        <v>4853</v>
      </c>
      <c r="G5" t="s">
        <v>25</v>
      </c>
    </row>
    <row r="6" spans="1:7" ht="11.25" customHeight="1">
      <c r="A6" s="257" t="s">
        <v>0</v>
      </c>
      <c r="B6" t="s">
        <v>4860</v>
      </c>
      <c r="C6" t="s">
        <v>4861</v>
      </c>
      <c r="D6" t="s">
        <v>4860</v>
      </c>
      <c r="E6" t="s">
        <v>4861</v>
      </c>
      <c r="F6" t="s">
        <v>4853</v>
      </c>
      <c r="G6" t="s">
        <v>45</v>
      </c>
    </row>
    <row r="7" spans="1:7" ht="11.25" customHeight="1">
      <c r="A7" s="257" t="s">
        <v>0</v>
      </c>
      <c r="B7" t="s">
        <v>4862</v>
      </c>
      <c r="C7" t="s">
        <v>4863</v>
      </c>
      <c r="D7" t="s">
        <v>4864</v>
      </c>
      <c r="E7" t="s">
        <v>4865</v>
      </c>
      <c r="F7" t="s">
        <v>4866</v>
      </c>
      <c r="G7" t="s">
        <v>26</v>
      </c>
    </row>
    <row r="8" spans="1:7" ht="11.25" customHeight="1">
      <c r="A8" s="257" t="s">
        <v>0</v>
      </c>
      <c r="B8" t="s">
        <v>4862</v>
      </c>
      <c r="C8" t="s">
        <v>4863</v>
      </c>
      <c r="D8" t="s">
        <v>4862</v>
      </c>
      <c r="E8" t="s">
        <v>4863</v>
      </c>
      <c r="F8" t="s">
        <v>4867</v>
      </c>
      <c r="G8" t="s">
        <v>27</v>
      </c>
    </row>
    <row r="9" spans="1:7" ht="11.25" customHeight="1">
      <c r="A9" s="257" t="s">
        <v>0</v>
      </c>
      <c r="B9" t="s">
        <v>4862</v>
      </c>
      <c r="C9" t="s">
        <v>4863</v>
      </c>
      <c r="D9" t="s">
        <v>4868</v>
      </c>
      <c r="E9" t="s">
        <v>4869</v>
      </c>
      <c r="F9" t="s">
        <v>4866</v>
      </c>
      <c r="G9" t="s">
        <v>46</v>
      </c>
    </row>
    <row r="10" spans="1:7" ht="11.25" customHeight="1">
      <c r="A10" s="257" t="s">
        <v>0</v>
      </c>
      <c r="B10" t="s">
        <v>4862</v>
      </c>
      <c r="C10" t="s">
        <v>4863</v>
      </c>
      <c r="D10" t="s">
        <v>4870</v>
      </c>
      <c r="E10" t="s">
        <v>4871</v>
      </c>
      <c r="F10" t="s">
        <v>4866</v>
      </c>
      <c r="G10" t="s">
        <v>86</v>
      </c>
    </row>
    <row r="11" spans="1:7" ht="11.25" customHeight="1">
      <c r="A11" s="257" t="s">
        <v>0</v>
      </c>
      <c r="B11" t="s">
        <v>4872</v>
      </c>
      <c r="C11" t="s">
        <v>4873</v>
      </c>
      <c r="D11" t="s">
        <v>4872</v>
      </c>
      <c r="E11" t="s">
        <v>4873</v>
      </c>
      <c r="F11" t="s">
        <v>4853</v>
      </c>
      <c r="G11" t="s">
        <v>87</v>
      </c>
    </row>
    <row r="12" spans="1:7" ht="11.25" customHeight="1">
      <c r="A12" s="257" t="s">
        <v>0</v>
      </c>
      <c r="B12" t="s">
        <v>4874</v>
      </c>
      <c r="C12" t="s">
        <v>4875</v>
      </c>
      <c r="D12" t="s">
        <v>4874</v>
      </c>
      <c r="E12" t="s">
        <v>4875</v>
      </c>
      <c r="F12" t="s">
        <v>4853</v>
      </c>
      <c r="G12" t="s">
        <v>88</v>
      </c>
    </row>
    <row r="13" spans="1:7" ht="11.25" customHeight="1">
      <c r="A13" s="257" t="s">
        <v>0</v>
      </c>
      <c r="B13" t="s">
        <v>4876</v>
      </c>
      <c r="C13" t="s">
        <v>4877</v>
      </c>
      <c r="D13" t="s">
        <v>4876</v>
      </c>
      <c r="E13" t="s">
        <v>4877</v>
      </c>
      <c r="F13" t="s">
        <v>4853</v>
      </c>
      <c r="G13" t="s">
        <v>89</v>
      </c>
    </row>
    <row r="14" spans="1:7" ht="11.25" customHeight="1">
      <c r="A14" s="257" t="s">
        <v>0</v>
      </c>
      <c r="B14" t="s">
        <v>4878</v>
      </c>
      <c r="C14" t="s">
        <v>4879</v>
      </c>
      <c r="D14" t="s">
        <v>4878</v>
      </c>
      <c r="E14" t="s">
        <v>4879</v>
      </c>
      <c r="F14" t="s">
        <v>4853</v>
      </c>
      <c r="G14" t="s">
        <v>90</v>
      </c>
    </row>
    <row r="15" spans="1:7" ht="11.25" customHeight="1">
      <c r="A15" s="257" t="s">
        <v>0</v>
      </c>
      <c r="B15" t="s">
        <v>4880</v>
      </c>
      <c r="C15" t="s">
        <v>4881</v>
      </c>
      <c r="D15" t="s">
        <v>4880</v>
      </c>
      <c r="E15" t="s">
        <v>4881</v>
      </c>
      <c r="F15" t="s">
        <v>4853</v>
      </c>
      <c r="G15" t="s">
        <v>91</v>
      </c>
    </row>
    <row r="16" spans="1:7" ht="11.25" customHeight="1">
      <c r="A16" s="257" t="s">
        <v>0</v>
      </c>
      <c r="B16" t="s">
        <v>4882</v>
      </c>
      <c r="C16" t="s">
        <v>4883</v>
      </c>
      <c r="D16" t="s">
        <v>4882</v>
      </c>
      <c r="E16" t="s">
        <v>4883</v>
      </c>
      <c r="F16" t="s">
        <v>4853</v>
      </c>
      <c r="G16" t="s">
        <v>1386</v>
      </c>
    </row>
    <row r="17" spans="1:7" ht="11.25" customHeight="1">
      <c r="A17" s="257" t="s">
        <v>0</v>
      </c>
      <c r="B17" t="s">
        <v>4884</v>
      </c>
      <c r="C17" t="s">
        <v>4885</v>
      </c>
      <c r="D17" t="s">
        <v>4884</v>
      </c>
      <c r="E17" t="s">
        <v>4885</v>
      </c>
      <c r="F17" t="s">
        <v>4853</v>
      </c>
      <c r="G17" t="s">
        <v>1392</v>
      </c>
    </row>
    <row r="18" spans="1:7" ht="11.25" customHeight="1">
      <c r="A18" s="257" t="s">
        <v>0</v>
      </c>
      <c r="B18" t="s">
        <v>4886</v>
      </c>
      <c r="C18" t="s">
        <v>4887</v>
      </c>
      <c r="D18" t="s">
        <v>4886</v>
      </c>
      <c r="E18" t="s">
        <v>4887</v>
      </c>
      <c r="F18" t="s">
        <v>4853</v>
      </c>
      <c r="G18" t="s">
        <v>1403</v>
      </c>
    </row>
    <row r="19" spans="1:7" ht="11.25" customHeight="1">
      <c r="A19" s="257" t="s">
        <v>0</v>
      </c>
      <c r="B19" t="s">
        <v>4888</v>
      </c>
      <c r="C19" t="s">
        <v>4889</v>
      </c>
      <c r="D19" t="s">
        <v>4888</v>
      </c>
      <c r="E19" t="s">
        <v>4889</v>
      </c>
      <c r="F19" t="s">
        <v>4853</v>
      </c>
      <c r="G19" t="s">
        <v>1417</v>
      </c>
    </row>
    <row r="20" spans="1:7" ht="11.25" customHeight="1">
      <c r="A20" s="257" t="s">
        <v>0</v>
      </c>
      <c r="B20" t="s">
        <v>4890</v>
      </c>
      <c r="C20" t="s">
        <v>4891</v>
      </c>
      <c r="D20" t="s">
        <v>4890</v>
      </c>
      <c r="E20" t="s">
        <v>4891</v>
      </c>
      <c r="F20" t="s">
        <v>4853</v>
      </c>
      <c r="G20" t="s">
        <v>1429</v>
      </c>
    </row>
    <row r="21" spans="1:7" ht="11.25" customHeight="1">
      <c r="A21" s="257" t="s">
        <v>0</v>
      </c>
      <c r="B21" t="s">
        <v>4892</v>
      </c>
      <c r="C21" t="s">
        <v>4893</v>
      </c>
      <c r="D21" t="s">
        <v>4892</v>
      </c>
      <c r="E21" t="s">
        <v>4893</v>
      </c>
      <c r="F21" t="s">
        <v>4853</v>
      </c>
      <c r="G21" t="s">
        <v>1438</v>
      </c>
    </row>
    <row r="22" spans="1:7" ht="11.25" customHeight="1">
      <c r="A22" s="257" t="s">
        <v>0</v>
      </c>
      <c r="B22" t="s">
        <v>4894</v>
      </c>
      <c r="C22" t="s">
        <v>4895</v>
      </c>
      <c r="D22" t="s">
        <v>4894</v>
      </c>
      <c r="E22" t="s">
        <v>4895</v>
      </c>
      <c r="F22" t="s">
        <v>4853</v>
      </c>
      <c r="G22" t="s">
        <v>1454</v>
      </c>
    </row>
    <row r="23" spans="1:7" ht="11.25" customHeight="1">
      <c r="A23" s="257" t="s">
        <v>0</v>
      </c>
      <c r="B23" t="s">
        <v>4896</v>
      </c>
      <c r="C23" t="s">
        <v>4897</v>
      </c>
      <c r="D23" t="s">
        <v>4896</v>
      </c>
      <c r="E23" t="s">
        <v>4897</v>
      </c>
      <c r="F23" t="s">
        <v>4853</v>
      </c>
      <c r="G23" t="s">
        <v>1461</v>
      </c>
    </row>
    <row r="24" spans="1:7" ht="11.25" customHeight="1">
      <c r="A24" s="257" t="s">
        <v>0</v>
      </c>
      <c r="B24" t="s">
        <v>4898</v>
      </c>
      <c r="C24" t="s">
        <v>4899</v>
      </c>
      <c r="D24" t="s">
        <v>4898</v>
      </c>
      <c r="E24" t="s">
        <v>4899</v>
      </c>
      <c r="F24" t="s">
        <v>4853</v>
      </c>
      <c r="G24" t="s">
        <v>1469</v>
      </c>
    </row>
    <row r="25" spans="1:7" ht="11.25" customHeight="1">
      <c r="A25" s="257" t="s">
        <v>0</v>
      </c>
      <c r="B25" t="s">
        <v>4900</v>
      </c>
      <c r="C25" t="s">
        <v>4901</v>
      </c>
      <c r="D25" t="s">
        <v>4900</v>
      </c>
      <c r="E25" t="s">
        <v>4901</v>
      </c>
      <c r="F25" t="s">
        <v>4853</v>
      </c>
      <c r="G25" t="s">
        <v>1476</v>
      </c>
    </row>
    <row r="26" spans="1:7" ht="11.25" customHeight="1">
      <c r="A26" s="257" t="s">
        <v>0</v>
      </c>
      <c r="B26" t="s">
        <v>4902</v>
      </c>
      <c r="C26" t="s">
        <v>4903</v>
      </c>
      <c r="D26" t="s">
        <v>4902</v>
      </c>
      <c r="E26" t="s">
        <v>4903</v>
      </c>
      <c r="F26" t="s">
        <v>4853</v>
      </c>
      <c r="G26" t="s">
        <v>1480</v>
      </c>
    </row>
    <row r="27" spans="1:7" ht="11.25" customHeight="1">
      <c r="A27" s="257" t="s">
        <v>0</v>
      </c>
      <c r="B27" t="s">
        <v>4904</v>
      </c>
      <c r="C27" t="s">
        <v>4905</v>
      </c>
      <c r="D27" t="s">
        <v>4904</v>
      </c>
      <c r="E27" t="s">
        <v>4905</v>
      </c>
      <c r="F27" t="s">
        <v>4853</v>
      </c>
      <c r="G27" t="s">
        <v>1485</v>
      </c>
    </row>
    <row r="28" spans="1:7" ht="11.25" customHeight="1">
      <c r="A28" s="257" t="s">
        <v>0</v>
      </c>
      <c r="B28" t="s">
        <v>4906</v>
      </c>
      <c r="C28" t="s">
        <v>4907</v>
      </c>
      <c r="D28" t="s">
        <v>4906</v>
      </c>
      <c r="E28" t="s">
        <v>4907</v>
      </c>
      <c r="F28" t="s">
        <v>4853</v>
      </c>
      <c r="G28" t="s">
        <v>1493</v>
      </c>
    </row>
    <row r="29" spans="1:7" ht="11.25" customHeight="1">
      <c r="A29" s="257" t="s">
        <v>0</v>
      </c>
      <c r="B29" t="s">
        <v>4908</v>
      </c>
      <c r="C29" t="s">
        <v>4909</v>
      </c>
      <c r="D29" t="s">
        <v>4910</v>
      </c>
      <c r="E29" t="s">
        <v>4911</v>
      </c>
      <c r="F29" t="s">
        <v>4912</v>
      </c>
      <c r="G29" t="s">
        <v>1495</v>
      </c>
    </row>
    <row r="30" spans="1:7" ht="11.25" customHeight="1">
      <c r="A30" s="257" t="s">
        <v>0</v>
      </c>
      <c r="B30" t="s">
        <v>4908</v>
      </c>
      <c r="C30" t="s">
        <v>4909</v>
      </c>
      <c r="D30" t="s">
        <v>4913</v>
      </c>
      <c r="E30" t="s">
        <v>4914</v>
      </c>
      <c r="F30" t="s">
        <v>4866</v>
      </c>
      <c r="G30" t="s">
        <v>1498</v>
      </c>
    </row>
    <row r="31" spans="1:7" ht="11.25" customHeight="1">
      <c r="A31" s="257" t="s">
        <v>0</v>
      </c>
      <c r="B31" t="s">
        <v>4908</v>
      </c>
      <c r="C31" t="s">
        <v>4909</v>
      </c>
      <c r="D31" t="s">
        <v>4915</v>
      </c>
      <c r="E31" t="s">
        <v>4916</v>
      </c>
      <c r="F31" t="s">
        <v>4917</v>
      </c>
      <c r="G31" t="s">
        <v>1504</v>
      </c>
    </row>
    <row r="32" spans="1:7" ht="11.25" customHeight="1">
      <c r="A32" s="257" t="s">
        <v>0</v>
      </c>
      <c r="B32" t="s">
        <v>4908</v>
      </c>
      <c r="C32" t="s">
        <v>4909</v>
      </c>
      <c r="D32" t="s">
        <v>4908</v>
      </c>
      <c r="E32" t="s">
        <v>4909</v>
      </c>
      <c r="F32" t="s">
        <v>4867</v>
      </c>
      <c r="G32" t="s">
        <v>1506</v>
      </c>
    </row>
    <row r="33" spans="1:7" ht="11.25" customHeight="1">
      <c r="A33" s="257" t="s">
        <v>0</v>
      </c>
      <c r="B33" t="s">
        <v>4908</v>
      </c>
      <c r="C33" t="s">
        <v>4909</v>
      </c>
      <c r="D33" t="s">
        <v>4918</v>
      </c>
      <c r="E33" t="s">
        <v>4919</v>
      </c>
      <c r="F33" t="s">
        <v>4917</v>
      </c>
      <c r="G33" t="s">
        <v>1508</v>
      </c>
    </row>
    <row r="34" spans="1:7" ht="11.25" customHeight="1">
      <c r="A34" s="257" t="s">
        <v>0</v>
      </c>
      <c r="B34" t="s">
        <v>4908</v>
      </c>
      <c r="C34" t="s">
        <v>4909</v>
      </c>
      <c r="D34" t="s">
        <v>4920</v>
      </c>
      <c r="E34" t="s">
        <v>4921</v>
      </c>
      <c r="F34" t="s">
        <v>4912</v>
      </c>
      <c r="G34" t="s">
        <v>1510</v>
      </c>
    </row>
    <row r="35" spans="1:7" ht="11.25" customHeight="1">
      <c r="A35" s="257" t="s">
        <v>0</v>
      </c>
      <c r="B35" t="s">
        <v>4908</v>
      </c>
      <c r="C35" t="s">
        <v>4909</v>
      </c>
      <c r="D35" t="s">
        <v>4922</v>
      </c>
      <c r="E35" t="s">
        <v>4923</v>
      </c>
      <c r="F35" t="s">
        <v>4912</v>
      </c>
      <c r="G35" t="s">
        <v>1515</v>
      </c>
    </row>
    <row r="36" spans="1:7" ht="11.25" customHeight="1">
      <c r="A36" s="257" t="s">
        <v>0</v>
      </c>
      <c r="B36" t="s">
        <v>4924</v>
      </c>
      <c r="C36" t="s">
        <v>4925</v>
      </c>
      <c r="D36" t="s">
        <v>4924</v>
      </c>
      <c r="E36" t="s">
        <v>4925</v>
      </c>
      <c r="F36" t="s">
        <v>4853</v>
      </c>
      <c r="G36" t="s">
        <v>1520</v>
      </c>
    </row>
    <row r="37" spans="1:7" ht="11.25" customHeight="1">
      <c r="A37" s="257" t="s">
        <v>0</v>
      </c>
      <c r="B37" t="s">
        <v>4926</v>
      </c>
      <c r="C37" t="s">
        <v>4927</v>
      </c>
      <c r="D37" t="s">
        <v>4926</v>
      </c>
      <c r="E37" t="s">
        <v>4927</v>
      </c>
      <c r="F37" t="s">
        <v>4853</v>
      </c>
      <c r="G37" t="s">
        <v>1524</v>
      </c>
    </row>
    <row r="38" spans="1:7" ht="11.25" customHeight="1">
      <c r="A38" s="257" t="s">
        <v>0</v>
      </c>
      <c r="B38" t="s">
        <v>4928</v>
      </c>
      <c r="C38" t="s">
        <v>4929</v>
      </c>
      <c r="D38" t="s">
        <v>4928</v>
      </c>
      <c r="E38" t="s">
        <v>4929</v>
      </c>
      <c r="F38" t="s">
        <v>4853</v>
      </c>
      <c r="G38" t="s">
        <v>1532</v>
      </c>
    </row>
    <row r="39" spans="1:7" ht="11.25" customHeight="1">
      <c r="A39" s="257" t="s">
        <v>0</v>
      </c>
      <c r="B39" t="s">
        <v>4930</v>
      </c>
      <c r="C39" t="s">
        <v>4931</v>
      </c>
      <c r="D39" t="s">
        <v>4930</v>
      </c>
      <c r="E39" t="s">
        <v>4931</v>
      </c>
      <c r="F39" t="s">
        <v>4853</v>
      </c>
      <c r="G39" t="s">
        <v>1538</v>
      </c>
    </row>
    <row r="40" spans="1:7" ht="11.25" customHeight="1">
      <c r="A40" s="257" t="s">
        <v>0</v>
      </c>
      <c r="B40" t="s">
        <v>4932</v>
      </c>
      <c r="C40" t="s">
        <v>4933</v>
      </c>
      <c r="D40" t="s">
        <v>4932</v>
      </c>
      <c r="E40" t="s">
        <v>4933</v>
      </c>
      <c r="F40" t="s">
        <v>4853</v>
      </c>
      <c r="G40" t="s">
        <v>1543</v>
      </c>
    </row>
    <row r="41" spans="1:7" ht="11.25" customHeight="1">
      <c r="A41" s="257" t="s">
        <v>0</v>
      </c>
      <c r="B41" t="s">
        <v>4934</v>
      </c>
      <c r="C41" t="s">
        <v>4935</v>
      </c>
      <c r="D41" t="s">
        <v>4934</v>
      </c>
      <c r="E41" t="s">
        <v>4935</v>
      </c>
      <c r="F41" t="s">
        <v>4853</v>
      </c>
      <c r="G41" t="s">
        <v>1547</v>
      </c>
    </row>
    <row r="42" spans="1:7" ht="11.25" customHeight="1">
      <c r="A42" s="257" t="s">
        <v>0</v>
      </c>
      <c r="B42" t="s">
        <v>4936</v>
      </c>
      <c r="C42" t="s">
        <v>4937</v>
      </c>
      <c r="D42" t="s">
        <v>4936</v>
      </c>
      <c r="E42" t="s">
        <v>4937</v>
      </c>
      <c r="F42" t="s">
        <v>4853</v>
      </c>
      <c r="G42" t="s">
        <v>1550</v>
      </c>
    </row>
    <row r="43" spans="1:7" ht="11.25" customHeight="1">
      <c r="A43" s="257" t="s">
        <v>0</v>
      </c>
      <c r="B43" t="s">
        <v>4938</v>
      </c>
      <c r="C43" t="s">
        <v>4939</v>
      </c>
      <c r="D43" t="s">
        <v>4938</v>
      </c>
      <c r="E43" t="s">
        <v>4939</v>
      </c>
      <c r="F43" t="s">
        <v>4853</v>
      </c>
      <c r="G43" t="s">
        <v>1557</v>
      </c>
    </row>
    <row r="44" spans="1:7" ht="11.25" customHeight="1">
      <c r="A44" s="257" t="s">
        <v>0</v>
      </c>
      <c r="B44" t="s">
        <v>4940</v>
      </c>
      <c r="C44" t="s">
        <v>4941</v>
      </c>
      <c r="D44" t="s">
        <v>4942</v>
      </c>
      <c r="E44" t="s">
        <v>4943</v>
      </c>
      <c r="F44" t="s">
        <v>4866</v>
      </c>
      <c r="G44" t="s">
        <v>1566</v>
      </c>
    </row>
    <row r="45" spans="1:7" ht="11.25" customHeight="1">
      <c r="A45" s="257" t="s">
        <v>0</v>
      </c>
      <c r="B45" t="s">
        <v>4940</v>
      </c>
      <c r="C45" t="s">
        <v>4941</v>
      </c>
      <c r="D45" t="s">
        <v>4944</v>
      </c>
      <c r="E45" t="s">
        <v>4945</v>
      </c>
      <c r="F45" t="s">
        <v>4866</v>
      </c>
      <c r="G45" t="s">
        <v>1571</v>
      </c>
    </row>
    <row r="46" spans="1:7" ht="11.25" customHeight="1">
      <c r="A46" s="257" t="s">
        <v>0</v>
      </c>
      <c r="B46" t="s">
        <v>4940</v>
      </c>
      <c r="C46" t="s">
        <v>4941</v>
      </c>
      <c r="D46" t="s">
        <v>4940</v>
      </c>
      <c r="E46" t="s">
        <v>4941</v>
      </c>
      <c r="F46" t="s">
        <v>4867</v>
      </c>
      <c r="G46" t="s">
        <v>1574</v>
      </c>
    </row>
    <row r="47" spans="1:7" ht="11.25" customHeight="1">
      <c r="A47" s="257" t="s">
        <v>0</v>
      </c>
      <c r="B47" t="s">
        <v>4940</v>
      </c>
      <c r="C47" t="s">
        <v>4941</v>
      </c>
      <c r="D47" t="s">
        <v>4946</v>
      </c>
      <c r="E47" t="s">
        <v>4947</v>
      </c>
      <c r="F47" t="s">
        <v>4866</v>
      </c>
      <c r="G47" t="s">
        <v>1580</v>
      </c>
    </row>
    <row r="48" spans="1:7" ht="11.25" customHeight="1">
      <c r="A48" s="257" t="s">
        <v>0</v>
      </c>
      <c r="B48" t="s">
        <v>4940</v>
      </c>
      <c r="C48" t="s">
        <v>4941</v>
      </c>
      <c r="D48" t="s">
        <v>4948</v>
      </c>
      <c r="E48" t="s">
        <v>4949</v>
      </c>
      <c r="F48" t="s">
        <v>4866</v>
      </c>
      <c r="G48" t="s">
        <v>1585</v>
      </c>
    </row>
    <row r="49" spans="1:7" ht="11.25" customHeight="1">
      <c r="A49" s="257" t="s">
        <v>0</v>
      </c>
      <c r="B49" t="s">
        <v>4950</v>
      </c>
      <c r="C49" t="s">
        <v>4951</v>
      </c>
      <c r="D49" t="s">
        <v>4950</v>
      </c>
      <c r="E49" t="s">
        <v>4951</v>
      </c>
      <c r="F49" t="s">
        <v>4853</v>
      </c>
      <c r="G49" t="s">
        <v>1588</v>
      </c>
    </row>
    <row r="50" spans="1:7" ht="11.25" customHeight="1">
      <c r="A50" s="257" t="s">
        <v>0</v>
      </c>
      <c r="B50" t="s">
        <v>4952</v>
      </c>
      <c r="C50" t="s">
        <v>4953</v>
      </c>
      <c r="D50" t="s">
        <v>4952</v>
      </c>
      <c r="E50" t="s">
        <v>4953</v>
      </c>
      <c r="F50" t="s">
        <v>4853</v>
      </c>
      <c r="G50" t="s">
        <v>1592</v>
      </c>
    </row>
    <row r="51" spans="1:7" ht="11.25" customHeight="1">
      <c r="A51" s="257" t="s">
        <v>0</v>
      </c>
      <c r="B51" t="s">
        <v>4954</v>
      </c>
      <c r="C51" t="s">
        <v>4955</v>
      </c>
      <c r="D51" t="s">
        <v>4956</v>
      </c>
      <c r="E51" t="s">
        <v>4957</v>
      </c>
      <c r="F51" t="s">
        <v>4866</v>
      </c>
      <c r="G51" t="s">
        <v>1597</v>
      </c>
    </row>
    <row r="52" spans="1:7" ht="11.25" customHeight="1">
      <c r="A52" s="257" t="s">
        <v>0</v>
      </c>
      <c r="B52" t="s">
        <v>4954</v>
      </c>
      <c r="C52" t="s">
        <v>4955</v>
      </c>
      <c r="D52" t="s">
        <v>4958</v>
      </c>
      <c r="E52" t="s">
        <v>4959</v>
      </c>
      <c r="F52" t="s">
        <v>4960</v>
      </c>
      <c r="G52" t="s">
        <v>1601</v>
      </c>
    </row>
    <row r="53" spans="1:7" ht="11.25" customHeight="1">
      <c r="A53" s="257" t="s">
        <v>0</v>
      </c>
      <c r="B53" t="s">
        <v>4954</v>
      </c>
      <c r="C53" t="s">
        <v>4955</v>
      </c>
      <c r="D53" t="s">
        <v>4954</v>
      </c>
      <c r="E53" t="s">
        <v>4955</v>
      </c>
      <c r="F53" t="s">
        <v>4867</v>
      </c>
      <c r="G53" t="s">
        <v>1603</v>
      </c>
    </row>
    <row r="54" spans="1:7" ht="11.25" customHeight="1">
      <c r="A54" s="257" t="s">
        <v>0</v>
      </c>
      <c r="B54" t="s">
        <v>4954</v>
      </c>
      <c r="C54" t="s">
        <v>4955</v>
      </c>
      <c r="D54" t="s">
        <v>4961</v>
      </c>
      <c r="E54" t="s">
        <v>4962</v>
      </c>
      <c r="F54" t="s">
        <v>4866</v>
      </c>
      <c r="G54" t="s">
        <v>1606</v>
      </c>
    </row>
    <row r="55" spans="1:7" ht="11.25" customHeight="1">
      <c r="A55" s="257" t="s">
        <v>0</v>
      </c>
      <c r="B55" t="s">
        <v>4954</v>
      </c>
      <c r="C55" t="s">
        <v>4955</v>
      </c>
      <c r="D55" t="s">
        <v>4963</v>
      </c>
      <c r="E55" t="s">
        <v>4964</v>
      </c>
      <c r="F55" t="s">
        <v>4866</v>
      </c>
      <c r="G55" t="s">
        <v>1610</v>
      </c>
    </row>
    <row r="56" spans="1:7" ht="11.25" customHeight="1">
      <c r="A56" s="257" t="s">
        <v>0</v>
      </c>
      <c r="B56" t="s">
        <v>4965</v>
      </c>
      <c r="C56" t="s">
        <v>4966</v>
      </c>
      <c r="D56" t="s">
        <v>4965</v>
      </c>
      <c r="E56" t="s">
        <v>4966</v>
      </c>
      <c r="F56" t="s">
        <v>4853</v>
      </c>
      <c r="G56" t="s">
        <v>1613</v>
      </c>
    </row>
    <row r="57" spans="1:7" ht="11.25" customHeight="1">
      <c r="A57" s="257" t="s">
        <v>0</v>
      </c>
      <c r="B57" t="s">
        <v>4967</v>
      </c>
      <c r="C57" t="s">
        <v>4968</v>
      </c>
      <c r="D57" t="s">
        <v>4967</v>
      </c>
      <c r="E57" t="s">
        <v>4968</v>
      </c>
      <c r="F57" t="s">
        <v>4853</v>
      </c>
      <c r="G57" t="s">
        <v>1616</v>
      </c>
    </row>
    <row r="58" spans="1:7" ht="11.25" customHeight="1">
      <c r="A58" s="257" t="s">
        <v>0</v>
      </c>
      <c r="B58" t="s">
        <v>4969</v>
      </c>
      <c r="C58" t="s">
        <v>4970</v>
      </c>
      <c r="D58" t="s">
        <v>4969</v>
      </c>
      <c r="E58" t="s">
        <v>4970</v>
      </c>
      <c r="F58" t="s">
        <v>4853</v>
      </c>
      <c r="G58" t="s">
        <v>1619</v>
      </c>
    </row>
    <row r="59" spans="1:7" ht="11.25" customHeight="1">
      <c r="A59" s="257" t="s">
        <v>0</v>
      </c>
      <c r="B59" t="s">
        <v>4971</v>
      </c>
      <c r="C59" t="s">
        <v>4972</v>
      </c>
      <c r="D59" t="s">
        <v>4971</v>
      </c>
      <c r="E59" t="s">
        <v>4972</v>
      </c>
      <c r="F59" t="s">
        <v>4853</v>
      </c>
      <c r="G59" t="s">
        <v>1623</v>
      </c>
    </row>
    <row r="60" spans="1:7" ht="11.25" customHeight="1">
      <c r="A60" s="257" t="s">
        <v>0</v>
      </c>
      <c r="B60" t="s">
        <v>4973</v>
      </c>
      <c r="C60" t="s">
        <v>4974</v>
      </c>
      <c r="D60" t="s">
        <v>4973</v>
      </c>
      <c r="E60" t="s">
        <v>4974</v>
      </c>
      <c r="F60" t="s">
        <v>4853</v>
      </c>
      <c r="G60" t="s">
        <v>1626</v>
      </c>
    </row>
    <row r="61" spans="1:7" ht="11.25" customHeight="1">
      <c r="A61" s="257" t="s">
        <v>0</v>
      </c>
      <c r="B61" t="s">
        <v>4975</v>
      </c>
      <c r="C61" t="s">
        <v>4976</v>
      </c>
      <c r="D61" t="s">
        <v>4975</v>
      </c>
      <c r="E61" t="s">
        <v>4976</v>
      </c>
      <c r="F61" t="s">
        <v>4853</v>
      </c>
      <c r="G61" t="s">
        <v>4977</v>
      </c>
    </row>
    <row r="62" spans="1:7" ht="11.25" customHeight="1">
      <c r="A62" s="257" t="s">
        <v>0</v>
      </c>
      <c r="B62" t="s">
        <v>4978</v>
      </c>
      <c r="C62" t="s">
        <v>4979</v>
      </c>
      <c r="D62" t="s">
        <v>4978</v>
      </c>
      <c r="E62" t="s">
        <v>4979</v>
      </c>
      <c r="F62" t="s">
        <v>4853</v>
      </c>
      <c r="G62" t="s">
        <v>4980</v>
      </c>
    </row>
    <row r="63" spans="1:7" ht="11.25" customHeight="1">
      <c r="A63" s="257" t="s">
        <v>0</v>
      </c>
      <c r="B63" t="s">
        <v>4981</v>
      </c>
      <c r="C63" t="s">
        <v>4982</v>
      </c>
      <c r="D63" t="s">
        <v>4981</v>
      </c>
      <c r="E63" t="s">
        <v>4982</v>
      </c>
      <c r="F63" t="s">
        <v>4853</v>
      </c>
      <c r="G63" t="s">
        <v>4983</v>
      </c>
    </row>
    <row r="64" spans="1:7" ht="11.25" customHeight="1">
      <c r="A64" s="257" t="s">
        <v>0</v>
      </c>
      <c r="B64" t="s">
        <v>4984</v>
      </c>
      <c r="C64" t="s">
        <v>4985</v>
      </c>
      <c r="D64" t="s">
        <v>4984</v>
      </c>
      <c r="E64" t="s">
        <v>4985</v>
      </c>
      <c r="F64" t="s">
        <v>4853</v>
      </c>
      <c r="G64" t="s">
        <v>4986</v>
      </c>
    </row>
    <row r="65" spans="1:7" ht="11.25" customHeight="1">
      <c r="A65" s="257" t="s">
        <v>0</v>
      </c>
      <c r="B65" t="s">
        <v>4987</v>
      </c>
      <c r="C65" t="s">
        <v>4988</v>
      </c>
      <c r="D65" t="s">
        <v>4987</v>
      </c>
      <c r="E65" t="s">
        <v>4988</v>
      </c>
      <c r="F65" t="s">
        <v>4853</v>
      </c>
      <c r="G65" t="s">
        <v>4989</v>
      </c>
    </row>
    <row r="66" spans="1:7" ht="11.25" customHeight="1">
      <c r="A66" s="257" t="s">
        <v>0</v>
      </c>
      <c r="B66" t="s">
        <v>4990</v>
      </c>
      <c r="C66" t="s">
        <v>4991</v>
      </c>
      <c r="D66" t="s">
        <v>4990</v>
      </c>
      <c r="E66" t="s">
        <v>4991</v>
      </c>
      <c r="F66" t="s">
        <v>4853</v>
      </c>
      <c r="G66" t="s">
        <v>4992</v>
      </c>
    </row>
    <row r="67" spans="1:7" ht="11.25" customHeight="1">
      <c r="A67" s="257" t="s">
        <v>0</v>
      </c>
      <c r="B67" t="s">
        <v>4993</v>
      </c>
      <c r="C67" t="s">
        <v>4994</v>
      </c>
      <c r="D67" t="s">
        <v>4993</v>
      </c>
      <c r="E67" t="s">
        <v>4994</v>
      </c>
      <c r="F67" t="s">
        <v>4853</v>
      </c>
      <c r="G67" t="s">
        <v>1847</v>
      </c>
    </row>
    <row r="68" spans="1:7" ht="11.25" customHeight="1">
      <c r="A68" s="257" t="s">
        <v>0</v>
      </c>
      <c r="B68" t="s">
        <v>4995</v>
      </c>
      <c r="C68" t="s">
        <v>4996</v>
      </c>
      <c r="D68" t="s">
        <v>4995</v>
      </c>
      <c r="E68" t="s">
        <v>4996</v>
      </c>
      <c r="F68" t="s">
        <v>4853</v>
      </c>
      <c r="G68" t="s">
        <v>4997</v>
      </c>
    </row>
    <row r="69" spans="1:7" ht="11.25" customHeight="1">
      <c r="A69" s="257" t="s">
        <v>0</v>
      </c>
      <c r="B69" t="s">
        <v>4998</v>
      </c>
      <c r="C69" t="s">
        <v>4999</v>
      </c>
      <c r="D69" t="s">
        <v>4998</v>
      </c>
      <c r="E69" t="s">
        <v>4999</v>
      </c>
      <c r="F69" t="s">
        <v>4853</v>
      </c>
      <c r="G69" t="s">
        <v>2058</v>
      </c>
    </row>
    <row r="70" spans="1:7" ht="11.25" customHeight="1">
      <c r="A70" s="257" t="s">
        <v>0</v>
      </c>
      <c r="B70" t="s">
        <v>5000</v>
      </c>
      <c r="C70" t="s">
        <v>5001</v>
      </c>
      <c r="D70" t="s">
        <v>5000</v>
      </c>
      <c r="E70" t="s">
        <v>5001</v>
      </c>
      <c r="F70" t="s">
        <v>4853</v>
      </c>
      <c r="G70" t="s">
        <v>5002</v>
      </c>
    </row>
    <row r="71" spans="1:7" ht="11.25" customHeight="1">
      <c r="A71" s="257" t="s">
        <v>0</v>
      </c>
      <c r="B71" t="s">
        <v>5003</v>
      </c>
      <c r="C71" t="s">
        <v>5004</v>
      </c>
      <c r="D71" t="s">
        <v>5003</v>
      </c>
      <c r="E71" t="s">
        <v>5004</v>
      </c>
      <c r="F71" t="s">
        <v>4853</v>
      </c>
      <c r="G71" t="s">
        <v>5005</v>
      </c>
    </row>
    <row r="72" spans="1:7" ht="11.25" customHeight="1">
      <c r="A72" s="257" t="s">
        <v>0</v>
      </c>
      <c r="B72" t="s">
        <v>5006</v>
      </c>
      <c r="C72" t="s">
        <v>5007</v>
      </c>
      <c r="D72" t="s">
        <v>5006</v>
      </c>
      <c r="E72" t="s">
        <v>5007</v>
      </c>
      <c r="F72" t="s">
        <v>4853</v>
      </c>
      <c r="G72" t="s">
        <v>5008</v>
      </c>
    </row>
    <row r="73" spans="1:7" ht="11.25" customHeight="1">
      <c r="A73" s="257" t="s">
        <v>0</v>
      </c>
      <c r="B73" t="s">
        <v>5009</v>
      </c>
      <c r="C73" t="s">
        <v>5010</v>
      </c>
      <c r="D73" t="s">
        <v>5009</v>
      </c>
      <c r="E73" t="s">
        <v>5010</v>
      </c>
      <c r="F73" t="s">
        <v>4853</v>
      </c>
      <c r="G73" t="s">
        <v>5011</v>
      </c>
    </row>
    <row r="74" spans="1:7" ht="11.25" customHeight="1">
      <c r="A74" s="257" t="s">
        <v>0</v>
      </c>
      <c r="B74" t="s">
        <v>5012</v>
      </c>
      <c r="C74" t="s">
        <v>5013</v>
      </c>
      <c r="D74" t="s">
        <v>5012</v>
      </c>
      <c r="E74" t="s">
        <v>5013</v>
      </c>
      <c r="F74" t="s">
        <v>4853</v>
      </c>
      <c r="G74" t="s">
        <v>5014</v>
      </c>
    </row>
    <row r="75" spans="1:7" ht="11.25" customHeight="1">
      <c r="A75" s="257" t="s">
        <v>0</v>
      </c>
      <c r="B75" t="s">
        <v>5015</v>
      </c>
      <c r="C75" t="s">
        <v>5016</v>
      </c>
      <c r="D75" t="s">
        <v>5015</v>
      </c>
      <c r="E75" t="s">
        <v>5016</v>
      </c>
      <c r="F75" t="s">
        <v>4853</v>
      </c>
      <c r="G75" t="s">
        <v>5017</v>
      </c>
    </row>
    <row r="76" spans="1:7" ht="11.25" customHeight="1">
      <c r="A76" s="257" t="s">
        <v>0</v>
      </c>
      <c r="B76" t="s">
        <v>5018</v>
      </c>
      <c r="C76" t="s">
        <v>5019</v>
      </c>
      <c r="D76" t="s">
        <v>5018</v>
      </c>
      <c r="E76" t="s">
        <v>5019</v>
      </c>
      <c r="F76" t="s">
        <v>4853</v>
      </c>
      <c r="G76" t="s">
        <v>5020</v>
      </c>
    </row>
    <row r="77" spans="1:7" ht="11.25" customHeight="1">
      <c r="A77" s="257" t="s">
        <v>0</v>
      </c>
      <c r="B77" t="s">
        <v>5021</v>
      </c>
      <c r="C77" t="s">
        <v>5022</v>
      </c>
      <c r="D77" t="s">
        <v>5021</v>
      </c>
      <c r="E77" t="s">
        <v>5022</v>
      </c>
      <c r="F77" t="s">
        <v>4853</v>
      </c>
      <c r="G77" t="s">
        <v>5023</v>
      </c>
    </row>
    <row r="78" spans="1:7" ht="11.25" customHeight="1">
      <c r="A78" s="257" t="s">
        <v>0</v>
      </c>
      <c r="B78" t="s">
        <v>5024</v>
      </c>
      <c r="C78" t="s">
        <v>5025</v>
      </c>
      <c r="D78" t="s">
        <v>5024</v>
      </c>
      <c r="E78" t="s">
        <v>5025</v>
      </c>
      <c r="F78" t="s">
        <v>4853</v>
      </c>
      <c r="G78" t="s">
        <v>5026</v>
      </c>
    </row>
    <row r="79" spans="1:7" ht="11.25" customHeight="1">
      <c r="A79" s="257" t="s">
        <v>0</v>
      </c>
      <c r="B79" t="s">
        <v>5027</v>
      </c>
      <c r="C79" t="s">
        <v>5028</v>
      </c>
      <c r="D79" t="s">
        <v>5027</v>
      </c>
      <c r="E79" t="s">
        <v>5028</v>
      </c>
      <c r="F79" t="s">
        <v>4853</v>
      </c>
      <c r="G79" t="s">
        <v>5029</v>
      </c>
    </row>
    <row r="80" spans="1:7" ht="11.25" customHeight="1">
      <c r="A80" s="257" t="s">
        <v>0</v>
      </c>
      <c r="B80" t="s">
        <v>5030</v>
      </c>
      <c r="C80" t="s">
        <v>5031</v>
      </c>
      <c r="D80" t="s">
        <v>5030</v>
      </c>
      <c r="E80" t="s">
        <v>5031</v>
      </c>
      <c r="F80" t="s">
        <v>4853</v>
      </c>
      <c r="G80" t="s">
        <v>5032</v>
      </c>
    </row>
    <row r="81" spans="1:7" ht="11.25" customHeight="1">
      <c r="A81" s="257" t="s">
        <v>0</v>
      </c>
      <c r="B81" t="s">
        <v>5033</v>
      </c>
      <c r="C81" t="s">
        <v>5034</v>
      </c>
      <c r="D81" t="s">
        <v>5033</v>
      </c>
      <c r="E81" t="s">
        <v>5034</v>
      </c>
      <c r="F81" t="s">
        <v>4853</v>
      </c>
      <c r="G81" t="s">
        <v>5035</v>
      </c>
    </row>
    <row r="82" spans="1:7" ht="11.25" customHeight="1">
      <c r="A82" s="257" t="s">
        <v>0</v>
      </c>
      <c r="B82" t="s">
        <v>5036</v>
      </c>
      <c r="C82" t="s">
        <v>5037</v>
      </c>
      <c r="D82" t="s">
        <v>5036</v>
      </c>
      <c r="E82" t="s">
        <v>5037</v>
      </c>
      <c r="F82" t="s">
        <v>4853</v>
      </c>
      <c r="G82" t="s">
        <v>5038</v>
      </c>
    </row>
    <row r="83" spans="1:7" ht="11.25" customHeight="1">
      <c r="A83" s="257" t="s">
        <v>0</v>
      </c>
      <c r="B83" t="s">
        <v>5039</v>
      </c>
      <c r="C83" t="s">
        <v>5040</v>
      </c>
      <c r="D83" t="s">
        <v>5039</v>
      </c>
      <c r="E83" t="s">
        <v>5040</v>
      </c>
      <c r="F83" t="s">
        <v>4853</v>
      </c>
      <c r="G83" t="s">
        <v>5041</v>
      </c>
    </row>
    <row r="84" spans="1:7" ht="11.25" customHeight="1">
      <c r="A84" s="257" t="s">
        <v>0</v>
      </c>
      <c r="B84" t="s">
        <v>5042</v>
      </c>
      <c r="C84" t="s">
        <v>5043</v>
      </c>
      <c r="D84" t="s">
        <v>5042</v>
      </c>
      <c r="E84" t="s">
        <v>5043</v>
      </c>
      <c r="F84" t="s">
        <v>4853</v>
      </c>
      <c r="G84" t="s">
        <v>5044</v>
      </c>
    </row>
    <row r="85" spans="1:7" ht="11.25" customHeight="1">
      <c r="A85" s="257" t="s">
        <v>0</v>
      </c>
      <c r="B85" t="s">
        <v>5045</v>
      </c>
      <c r="C85" t="s">
        <v>5046</v>
      </c>
      <c r="D85" t="s">
        <v>5045</v>
      </c>
      <c r="E85" t="s">
        <v>5046</v>
      </c>
      <c r="F85" t="s">
        <v>4853</v>
      </c>
      <c r="G85" t="s">
        <v>5047</v>
      </c>
    </row>
    <row r="86" spans="1:7" ht="11.25" customHeight="1">
      <c r="A86" s="257" t="s">
        <v>0</v>
      </c>
      <c r="B86" t="s">
        <v>5048</v>
      </c>
      <c r="C86" t="s">
        <v>5049</v>
      </c>
      <c r="D86" t="s">
        <v>5048</v>
      </c>
      <c r="E86" t="s">
        <v>5049</v>
      </c>
      <c r="F86" t="s">
        <v>4853</v>
      </c>
      <c r="G86" t="s">
        <v>5050</v>
      </c>
    </row>
    <row r="87" spans="1:7" ht="11.25" customHeight="1">
      <c r="A87" s="257" t="s">
        <v>0</v>
      </c>
      <c r="B87" t="s">
        <v>5051</v>
      </c>
      <c r="C87" t="s">
        <v>5052</v>
      </c>
      <c r="D87" t="s">
        <v>5053</v>
      </c>
      <c r="E87" t="s">
        <v>5054</v>
      </c>
      <c r="F87" t="s">
        <v>4866</v>
      </c>
      <c r="G87" t="s">
        <v>5055</v>
      </c>
    </row>
    <row r="88" spans="1:7" ht="11.25" customHeight="1">
      <c r="A88" s="257" t="s">
        <v>0</v>
      </c>
      <c r="B88" t="s">
        <v>5051</v>
      </c>
      <c r="C88" t="s">
        <v>5052</v>
      </c>
      <c r="D88" t="s">
        <v>5056</v>
      </c>
      <c r="E88" t="s">
        <v>5057</v>
      </c>
      <c r="F88" t="s">
        <v>4866</v>
      </c>
      <c r="G88" t="s">
        <v>5058</v>
      </c>
    </row>
    <row r="89" spans="1:7" ht="11.25" customHeight="1">
      <c r="A89" s="257" t="s">
        <v>0</v>
      </c>
      <c r="B89" t="s">
        <v>5051</v>
      </c>
      <c r="C89" t="s">
        <v>5052</v>
      </c>
      <c r="D89" t="s">
        <v>5059</v>
      </c>
      <c r="E89" t="s">
        <v>5060</v>
      </c>
      <c r="F89" t="s">
        <v>4866</v>
      </c>
      <c r="G89" t="s">
        <v>5061</v>
      </c>
    </row>
    <row r="90" spans="1:7" ht="11.25" customHeight="1">
      <c r="A90" s="257" t="s">
        <v>0</v>
      </c>
      <c r="B90" t="s">
        <v>5051</v>
      </c>
      <c r="C90" t="s">
        <v>5052</v>
      </c>
      <c r="D90" t="s">
        <v>5062</v>
      </c>
      <c r="E90" t="s">
        <v>5063</v>
      </c>
      <c r="F90" t="s">
        <v>4866</v>
      </c>
      <c r="G90" t="s">
        <v>5064</v>
      </c>
    </row>
    <row r="91" spans="1:7" ht="11.25" customHeight="1">
      <c r="A91" s="257" t="s">
        <v>0</v>
      </c>
      <c r="B91" t="s">
        <v>5051</v>
      </c>
      <c r="C91" t="s">
        <v>5052</v>
      </c>
      <c r="D91" t="s">
        <v>5065</v>
      </c>
      <c r="E91" t="s">
        <v>5066</v>
      </c>
      <c r="F91" t="s">
        <v>4866</v>
      </c>
      <c r="G91" t="s">
        <v>5067</v>
      </c>
    </row>
    <row r="92" spans="1:7" ht="11.25" customHeight="1">
      <c r="A92" s="257" t="s">
        <v>0</v>
      </c>
      <c r="B92" t="s">
        <v>5051</v>
      </c>
      <c r="C92" t="s">
        <v>5052</v>
      </c>
      <c r="D92" t="s">
        <v>5051</v>
      </c>
      <c r="E92" t="s">
        <v>5052</v>
      </c>
      <c r="F92" t="s">
        <v>4867</v>
      </c>
      <c r="G92" t="s">
        <v>5068</v>
      </c>
    </row>
    <row r="93" spans="1:7" ht="11.25" customHeight="1">
      <c r="A93" s="257" t="s">
        <v>0</v>
      </c>
      <c r="B93" t="s">
        <v>5069</v>
      </c>
      <c r="C93" t="s">
        <v>5070</v>
      </c>
      <c r="D93" t="s">
        <v>5069</v>
      </c>
      <c r="E93" t="s">
        <v>5070</v>
      </c>
      <c r="F93" t="s">
        <v>4853</v>
      </c>
      <c r="G93" t="s">
        <v>5071</v>
      </c>
    </row>
    <row r="94" spans="1:7" ht="11.25" customHeight="1">
      <c r="A94" s="257" t="s">
        <v>0</v>
      </c>
      <c r="B94" t="s">
        <v>5072</v>
      </c>
      <c r="C94" t="s">
        <v>5073</v>
      </c>
      <c r="D94" t="s">
        <v>5072</v>
      </c>
      <c r="E94" t="s">
        <v>5073</v>
      </c>
      <c r="F94" t="s">
        <v>4853</v>
      </c>
      <c r="G94" t="s">
        <v>5074</v>
      </c>
    </row>
    <row r="95" spans="1:7" ht="11.25" customHeight="1">
      <c r="A95" s="257" t="s">
        <v>0</v>
      </c>
      <c r="B95" t="s">
        <v>34</v>
      </c>
      <c r="C95" t="s">
        <v>35</v>
      </c>
      <c r="D95" t="s">
        <v>34</v>
      </c>
      <c r="E95" t="s">
        <v>35</v>
      </c>
      <c r="F95" t="s">
        <v>4853</v>
      </c>
      <c r="G95" t="s">
        <v>33</v>
      </c>
    </row>
    <row r="96" spans="1:7" ht="11.25" customHeight="1">
      <c r="A96" s="257" t="s">
        <v>0</v>
      </c>
      <c r="B96" t="s">
        <v>5075</v>
      </c>
      <c r="C96" t="s">
        <v>5076</v>
      </c>
      <c r="D96" t="s">
        <v>5075</v>
      </c>
      <c r="E96" t="s">
        <v>5076</v>
      </c>
      <c r="F96" t="s">
        <v>4853</v>
      </c>
      <c r="G96" t="s">
        <v>5077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D107"/>
  <sheetViews>
    <sheetView showGridLines="0" workbookViewId="0"/>
  </sheetViews>
  <sheetFormatPr defaultColWidth="9.140625" defaultRowHeight="11.25" customHeight="1"/>
  <cols>
    <col min="1" max="4" width="9.140625" style="1854"/>
  </cols>
  <sheetData>
    <row r="1" spans="1:4" ht="11.25" customHeight="1">
      <c r="A1" s="638" t="s">
        <v>5078</v>
      </c>
      <c r="B1" s="638" t="s">
        <v>5079</v>
      </c>
      <c r="C1" s="638" t="s">
        <v>5080</v>
      </c>
      <c r="D1" s="638" t="s">
        <v>5081</v>
      </c>
    </row>
    <row r="2" spans="1:4" ht="11.25" customHeight="1">
      <c r="A2" s="1855" t="s">
        <v>43</v>
      </c>
      <c r="B2" s="1855" t="s">
        <v>5082</v>
      </c>
      <c r="C2" s="1855" t="s">
        <v>5083</v>
      </c>
      <c r="D2" s="1855" t="s">
        <v>5084</v>
      </c>
    </row>
    <row r="3" spans="1:4" ht="11.25" customHeight="1">
      <c r="A3" s="1855" t="s">
        <v>44</v>
      </c>
      <c r="B3" s="1855" t="s">
        <v>5085</v>
      </c>
      <c r="C3" s="1855" t="s">
        <v>5086</v>
      </c>
      <c r="D3" s="1855" t="s">
        <v>5087</v>
      </c>
    </row>
    <row r="4" spans="1:4" ht="11.25" customHeight="1">
      <c r="A4" s="1855" t="s">
        <v>24</v>
      </c>
      <c r="B4" s="1855" t="s">
        <v>5088</v>
      </c>
      <c r="C4" s="1855" t="s">
        <v>5089</v>
      </c>
      <c r="D4" s="1855" t="s">
        <v>5090</v>
      </c>
    </row>
    <row r="5" spans="1:4" ht="11.25" customHeight="1">
      <c r="A5" s="1855" t="s">
        <v>25</v>
      </c>
      <c r="B5" s="1855" t="s">
        <v>5091</v>
      </c>
      <c r="C5" s="1855" t="s">
        <v>5089</v>
      </c>
      <c r="D5" s="1855" t="s">
        <v>5090</v>
      </c>
    </row>
    <row r="6" spans="1:4" ht="11.25" customHeight="1">
      <c r="A6" s="1855" t="s">
        <v>45</v>
      </c>
      <c r="B6" s="1855" t="s">
        <v>5092</v>
      </c>
      <c r="C6" s="1855" t="s">
        <v>5093</v>
      </c>
      <c r="D6" s="1855" t="s">
        <v>5090</v>
      </c>
    </row>
    <row r="7" spans="1:4" ht="11.25" customHeight="1">
      <c r="A7" s="1855" t="s">
        <v>26</v>
      </c>
      <c r="B7" s="1855" t="s">
        <v>5094</v>
      </c>
      <c r="C7" s="1855" t="s">
        <v>5095</v>
      </c>
      <c r="D7" s="1855" t="s">
        <v>5096</v>
      </c>
    </row>
    <row r="8" spans="1:4" ht="11.25" customHeight="1">
      <c r="A8" s="1855" t="s">
        <v>27</v>
      </c>
      <c r="B8" s="1855" t="s">
        <v>5097</v>
      </c>
      <c r="C8" s="1855" t="s">
        <v>5098</v>
      </c>
      <c r="D8" s="1855" t="s">
        <v>5096</v>
      </c>
    </row>
    <row r="9" spans="1:4" ht="11.25" customHeight="1">
      <c r="A9" s="1855" t="s">
        <v>46</v>
      </c>
      <c r="B9" s="1855" t="s">
        <v>5099</v>
      </c>
      <c r="C9" s="1855" t="s">
        <v>5100</v>
      </c>
      <c r="D9" s="1855" t="s">
        <v>5101</v>
      </c>
    </row>
    <row r="10" spans="1:4" ht="11.25" customHeight="1">
      <c r="A10" s="1855" t="s">
        <v>86</v>
      </c>
      <c r="B10" s="1855" t="s">
        <v>5102</v>
      </c>
      <c r="C10" s="1855" t="s">
        <v>5086</v>
      </c>
      <c r="D10" s="1855" t="s">
        <v>5103</v>
      </c>
    </row>
    <row r="11" spans="1:4" ht="11.25" customHeight="1">
      <c r="A11" s="1855" t="s">
        <v>87</v>
      </c>
      <c r="B11" s="1855" t="s">
        <v>5104</v>
      </c>
      <c r="C11" s="1855" t="s">
        <v>5086</v>
      </c>
      <c r="D11" s="1855" t="s">
        <v>5096</v>
      </c>
    </row>
    <row r="12" spans="1:4" ht="11.25" customHeight="1">
      <c r="A12" s="1855" t="s">
        <v>88</v>
      </c>
      <c r="B12" s="1855" t="s">
        <v>5105</v>
      </c>
      <c r="C12" s="1855" t="s">
        <v>5086</v>
      </c>
      <c r="D12" s="1855" t="s">
        <v>5103</v>
      </c>
    </row>
    <row r="13" spans="1:4" ht="11.25" customHeight="1">
      <c r="A13" s="1855" t="s">
        <v>89</v>
      </c>
      <c r="B13" s="1855" t="s">
        <v>5106</v>
      </c>
      <c r="C13" s="1855" t="s">
        <v>5086</v>
      </c>
      <c r="D13" s="1855" t="s">
        <v>5087</v>
      </c>
    </row>
    <row r="14" spans="1:4" ht="11.25" customHeight="1">
      <c r="A14" s="1855" t="s">
        <v>90</v>
      </c>
      <c r="B14" s="1855" t="s">
        <v>5107</v>
      </c>
      <c r="C14" s="1855" t="s">
        <v>5108</v>
      </c>
      <c r="D14" s="1855" t="s">
        <v>5109</v>
      </c>
    </row>
    <row r="15" spans="1:4" ht="11.25" customHeight="1">
      <c r="A15" s="1855" t="s">
        <v>91</v>
      </c>
      <c r="B15" s="1855" t="s">
        <v>5110</v>
      </c>
      <c r="C15" s="1855" t="s">
        <v>5093</v>
      </c>
      <c r="D15" s="1855" t="s">
        <v>5090</v>
      </c>
    </row>
    <row r="16" spans="1:4" ht="11.25" customHeight="1">
      <c r="A16" s="1855" t="s">
        <v>1386</v>
      </c>
      <c r="B16" s="1855" t="s">
        <v>5111</v>
      </c>
      <c r="C16" s="1855" t="s">
        <v>5112</v>
      </c>
      <c r="D16" s="1855" t="s">
        <v>5113</v>
      </c>
    </row>
    <row r="17" spans="1:4" ht="11.25" customHeight="1">
      <c r="A17" s="1855" t="s">
        <v>1392</v>
      </c>
      <c r="B17" s="1855" t="s">
        <v>5114</v>
      </c>
      <c r="C17" s="1855" t="s">
        <v>5112</v>
      </c>
      <c r="D17" s="1855" t="s">
        <v>5090</v>
      </c>
    </row>
    <row r="18" spans="1:4" ht="11.25" customHeight="1">
      <c r="A18" s="1855" t="s">
        <v>1403</v>
      </c>
      <c r="B18" s="1855" t="s">
        <v>5115</v>
      </c>
      <c r="C18" s="1855" t="s">
        <v>5093</v>
      </c>
      <c r="D18" s="1855" t="s">
        <v>5090</v>
      </c>
    </row>
    <row r="19" spans="1:4" ht="11.25" customHeight="1">
      <c r="A19" s="1855" t="s">
        <v>1417</v>
      </c>
      <c r="B19" s="1855" t="s">
        <v>5116</v>
      </c>
      <c r="C19" s="1855" t="s">
        <v>5117</v>
      </c>
      <c r="D19" s="1855" t="s">
        <v>5101</v>
      </c>
    </row>
    <row r="20" spans="1:4" ht="11.25" customHeight="1">
      <c r="A20" s="1855" t="s">
        <v>1429</v>
      </c>
      <c r="B20" s="1855" t="s">
        <v>5118</v>
      </c>
      <c r="C20" s="1855" t="s">
        <v>5117</v>
      </c>
      <c r="D20" s="1855" t="s">
        <v>5101</v>
      </c>
    </row>
    <row r="21" spans="1:4" ht="11.25" customHeight="1">
      <c r="A21" s="1855" t="s">
        <v>1438</v>
      </c>
      <c r="B21" s="1855" t="s">
        <v>5119</v>
      </c>
      <c r="C21" s="1855" t="s">
        <v>5117</v>
      </c>
      <c r="D21" s="1855" t="s">
        <v>5101</v>
      </c>
    </row>
    <row r="22" spans="1:4" ht="11.25" customHeight="1">
      <c r="A22" s="1855" t="s">
        <v>1454</v>
      </c>
      <c r="B22" s="1855" t="s">
        <v>5120</v>
      </c>
      <c r="C22" s="1855" t="s">
        <v>5093</v>
      </c>
      <c r="D22" s="1855" t="s">
        <v>5090</v>
      </c>
    </row>
    <row r="23" spans="1:4" ht="11.25" customHeight="1">
      <c r="A23" s="1855" t="s">
        <v>1461</v>
      </c>
      <c r="B23" s="1855" t="s">
        <v>5121</v>
      </c>
      <c r="C23" s="1855" t="s">
        <v>5093</v>
      </c>
      <c r="D23" s="1855" t="s">
        <v>5122</v>
      </c>
    </row>
    <row r="24" spans="1:4" ht="11.25" customHeight="1">
      <c r="A24" s="1855" t="s">
        <v>1469</v>
      </c>
      <c r="B24" s="1855" t="s">
        <v>5123</v>
      </c>
      <c r="C24" s="1855" t="s">
        <v>5093</v>
      </c>
      <c r="D24" s="1855" t="s">
        <v>5103</v>
      </c>
    </row>
    <row r="25" spans="1:4" ht="11.25" customHeight="1">
      <c r="A25" s="1855" t="s">
        <v>1476</v>
      </c>
      <c r="B25" s="1855" t="s">
        <v>5124</v>
      </c>
      <c r="C25" s="1855" t="s">
        <v>5093</v>
      </c>
      <c r="D25" s="1855" t="s">
        <v>5090</v>
      </c>
    </row>
    <row r="26" spans="1:4" ht="11.25" customHeight="1">
      <c r="A26" s="1855" t="s">
        <v>1480</v>
      </c>
      <c r="B26" s="1855" t="s">
        <v>5125</v>
      </c>
      <c r="C26" s="1855" t="s">
        <v>5126</v>
      </c>
      <c r="D26" s="1855" t="s">
        <v>5101</v>
      </c>
    </row>
    <row r="27" spans="1:4" ht="11.25" customHeight="1">
      <c r="A27" s="1855" t="s">
        <v>1485</v>
      </c>
      <c r="B27" s="1855" t="s">
        <v>5127</v>
      </c>
      <c r="C27" s="1855" t="s">
        <v>5126</v>
      </c>
      <c r="D27" s="1855" t="s">
        <v>5103</v>
      </c>
    </row>
    <row r="28" spans="1:4" ht="11.25" customHeight="1">
      <c r="A28" s="1855" t="s">
        <v>1493</v>
      </c>
      <c r="B28" s="1855" t="s">
        <v>5128</v>
      </c>
      <c r="C28" s="1855" t="s">
        <v>5126</v>
      </c>
      <c r="D28" s="1855" t="s">
        <v>5129</v>
      </c>
    </row>
    <row r="29" spans="1:4" ht="11.25" customHeight="1">
      <c r="A29" s="1855" t="s">
        <v>1495</v>
      </c>
      <c r="B29" s="1855" t="s">
        <v>5130</v>
      </c>
      <c r="C29" s="1855" t="s">
        <v>5126</v>
      </c>
      <c r="D29" s="1855" t="s">
        <v>5101</v>
      </c>
    </row>
    <row r="30" spans="1:4" ht="11.25" customHeight="1">
      <c r="A30" s="1855" t="s">
        <v>1498</v>
      </c>
      <c r="B30" s="1855" t="s">
        <v>5131</v>
      </c>
      <c r="C30" s="1855" t="s">
        <v>5126</v>
      </c>
      <c r="D30" s="1855" t="s">
        <v>5101</v>
      </c>
    </row>
    <row r="31" spans="1:4" ht="11.25" customHeight="1">
      <c r="A31" s="1855" t="s">
        <v>1504</v>
      </c>
      <c r="B31" s="1855" t="s">
        <v>5132</v>
      </c>
      <c r="C31" s="1855" t="s">
        <v>5126</v>
      </c>
      <c r="D31" s="1855" t="s">
        <v>5101</v>
      </c>
    </row>
    <row r="32" spans="1:4" ht="11.25" customHeight="1">
      <c r="A32" s="1855" t="s">
        <v>1506</v>
      </c>
      <c r="B32" s="1855" t="s">
        <v>5133</v>
      </c>
      <c r="C32" s="1855" t="s">
        <v>5126</v>
      </c>
      <c r="D32" s="1855" t="s">
        <v>5096</v>
      </c>
    </row>
    <row r="33" spans="1:4" ht="11.25" customHeight="1">
      <c r="A33" s="1855" t="s">
        <v>1508</v>
      </c>
      <c r="B33" s="1855" t="s">
        <v>5134</v>
      </c>
      <c r="C33" s="1855" t="s">
        <v>5126</v>
      </c>
      <c r="D33" s="1855" t="s">
        <v>5090</v>
      </c>
    </row>
    <row r="34" spans="1:4" ht="11.25" customHeight="1">
      <c r="A34" s="1855" t="s">
        <v>1510</v>
      </c>
      <c r="B34" s="1855" t="s">
        <v>5135</v>
      </c>
      <c r="C34" s="1855" t="s">
        <v>5136</v>
      </c>
      <c r="D34" s="1855" t="s">
        <v>5090</v>
      </c>
    </row>
    <row r="35" spans="1:4" ht="11.25" customHeight="1">
      <c r="A35" s="1855" t="s">
        <v>1515</v>
      </c>
      <c r="B35" s="1855" t="s">
        <v>5137</v>
      </c>
      <c r="C35" s="1855" t="s">
        <v>5136</v>
      </c>
      <c r="D35" s="1855" t="s">
        <v>5113</v>
      </c>
    </row>
    <row r="36" spans="1:4" ht="11.25" customHeight="1">
      <c r="A36" s="1855" t="s">
        <v>1520</v>
      </c>
      <c r="B36" s="1855" t="s">
        <v>5138</v>
      </c>
      <c r="C36" s="1855" t="s">
        <v>5136</v>
      </c>
      <c r="D36" s="1855" t="s">
        <v>5090</v>
      </c>
    </row>
    <row r="37" spans="1:4" ht="11.25" customHeight="1">
      <c r="A37" s="1855" t="s">
        <v>1524</v>
      </c>
      <c r="B37" s="1855" t="s">
        <v>5139</v>
      </c>
      <c r="C37" s="1855" t="s">
        <v>5126</v>
      </c>
      <c r="D37" s="1855" t="s">
        <v>5090</v>
      </c>
    </row>
    <row r="38" spans="1:4" ht="11.25" customHeight="1">
      <c r="A38" s="1855" t="s">
        <v>1532</v>
      </c>
      <c r="B38" s="1855" t="s">
        <v>5140</v>
      </c>
      <c r="C38" s="1855" t="s">
        <v>5141</v>
      </c>
      <c r="D38" s="1855" t="s">
        <v>5096</v>
      </c>
    </row>
    <row r="39" spans="1:4" ht="11.25" customHeight="1">
      <c r="A39" s="1855" t="s">
        <v>1538</v>
      </c>
      <c r="B39" s="1855" t="s">
        <v>5142</v>
      </c>
      <c r="C39" s="1855" t="s">
        <v>5086</v>
      </c>
      <c r="D39" s="1855" t="s">
        <v>5143</v>
      </c>
    </row>
    <row r="40" spans="1:4" ht="11.25" customHeight="1">
      <c r="A40" s="1855" t="s">
        <v>1543</v>
      </c>
      <c r="B40" s="1855" t="s">
        <v>5144</v>
      </c>
      <c r="C40" s="1855" t="s">
        <v>5141</v>
      </c>
      <c r="D40" s="1855" t="s">
        <v>5143</v>
      </c>
    </row>
    <row r="41" spans="1:4" ht="11.25" customHeight="1">
      <c r="A41" s="1855" t="s">
        <v>1547</v>
      </c>
      <c r="B41" s="1855" t="s">
        <v>5145</v>
      </c>
      <c r="C41" s="1855" t="s">
        <v>5141</v>
      </c>
      <c r="D41" s="1855" t="s">
        <v>5090</v>
      </c>
    </row>
    <row r="42" spans="1:4" ht="11.25" customHeight="1">
      <c r="A42" s="1855" t="s">
        <v>1550</v>
      </c>
      <c r="B42" s="1855" t="s">
        <v>5146</v>
      </c>
      <c r="C42" s="1855" t="s">
        <v>5141</v>
      </c>
      <c r="D42" s="1855" t="s">
        <v>5143</v>
      </c>
    </row>
    <row r="43" spans="1:4" ht="11.25" customHeight="1">
      <c r="A43" s="1855" t="s">
        <v>1557</v>
      </c>
      <c r="B43" s="1855" t="s">
        <v>5147</v>
      </c>
      <c r="C43" s="1855" t="s">
        <v>5141</v>
      </c>
      <c r="D43" s="1855" t="s">
        <v>5148</v>
      </c>
    </row>
    <row r="44" spans="1:4" ht="11.25" customHeight="1">
      <c r="A44" s="1855" t="s">
        <v>1566</v>
      </c>
      <c r="B44" s="1855" t="s">
        <v>5149</v>
      </c>
      <c r="C44" s="1855" t="s">
        <v>5141</v>
      </c>
      <c r="D44" s="1855" t="s">
        <v>5129</v>
      </c>
    </row>
    <row r="45" spans="1:4" ht="11.25" customHeight="1">
      <c r="A45" s="1855" t="s">
        <v>1571</v>
      </c>
      <c r="B45" s="1855" t="s">
        <v>5150</v>
      </c>
      <c r="C45" s="1855" t="s">
        <v>5108</v>
      </c>
      <c r="D45" s="1855" t="s">
        <v>5151</v>
      </c>
    </row>
    <row r="46" spans="1:4" ht="11.25" customHeight="1">
      <c r="A46" s="1855" t="s">
        <v>1574</v>
      </c>
      <c r="B46" s="1855" t="s">
        <v>5152</v>
      </c>
      <c r="C46" s="1855" t="s">
        <v>5141</v>
      </c>
      <c r="D46" s="1855" t="s">
        <v>5103</v>
      </c>
    </row>
    <row r="47" spans="1:4" ht="11.25" customHeight="1">
      <c r="A47" s="1855" t="s">
        <v>1580</v>
      </c>
      <c r="B47" s="1855" t="s">
        <v>5153</v>
      </c>
      <c r="C47" s="1855" t="s">
        <v>5141</v>
      </c>
      <c r="D47" s="1855" t="s">
        <v>5103</v>
      </c>
    </row>
    <row r="48" spans="1:4" ht="11.25" customHeight="1">
      <c r="A48" s="1855" t="s">
        <v>1585</v>
      </c>
      <c r="B48" s="1855" t="s">
        <v>5154</v>
      </c>
      <c r="C48" s="1855" t="s">
        <v>5141</v>
      </c>
      <c r="D48" s="1855" t="s">
        <v>5103</v>
      </c>
    </row>
    <row r="49" spans="1:4" ht="11.25" customHeight="1">
      <c r="A49" s="1855" t="s">
        <v>1588</v>
      </c>
      <c r="B49" s="1855" t="s">
        <v>5155</v>
      </c>
      <c r="C49" s="1855" t="s">
        <v>5141</v>
      </c>
      <c r="D49" s="1855" t="s">
        <v>5103</v>
      </c>
    </row>
    <row r="50" spans="1:4" ht="11.25" customHeight="1">
      <c r="A50" s="1855" t="s">
        <v>1592</v>
      </c>
      <c r="B50" s="1855" t="s">
        <v>5156</v>
      </c>
      <c r="C50" s="1855" t="s">
        <v>5141</v>
      </c>
      <c r="D50" s="1855" t="s">
        <v>5103</v>
      </c>
    </row>
    <row r="51" spans="1:4" ht="11.25" customHeight="1">
      <c r="A51" s="1855" t="s">
        <v>1597</v>
      </c>
      <c r="B51" s="1855" t="s">
        <v>5157</v>
      </c>
      <c r="C51" s="1855" t="s">
        <v>5141</v>
      </c>
      <c r="D51" s="1855" t="s">
        <v>5103</v>
      </c>
    </row>
    <row r="52" spans="1:4" ht="11.25" customHeight="1">
      <c r="A52" s="1855" t="s">
        <v>1601</v>
      </c>
      <c r="B52" s="1855" t="s">
        <v>5158</v>
      </c>
      <c r="C52" s="1855" t="s">
        <v>5159</v>
      </c>
      <c r="D52" s="1855" t="s">
        <v>5143</v>
      </c>
    </row>
    <row r="53" spans="1:4" ht="11.25" customHeight="1">
      <c r="A53" s="1855" t="s">
        <v>1603</v>
      </c>
      <c r="B53" s="1855" t="s">
        <v>5160</v>
      </c>
      <c r="C53" s="1855" t="s">
        <v>5159</v>
      </c>
      <c r="D53" s="1855" t="s">
        <v>5090</v>
      </c>
    </row>
    <row r="54" spans="1:4" ht="11.25" customHeight="1">
      <c r="A54" s="1855" t="s">
        <v>1606</v>
      </c>
      <c r="B54" s="1855" t="s">
        <v>5161</v>
      </c>
      <c r="C54" s="1855" t="s">
        <v>5159</v>
      </c>
      <c r="D54" s="1855" t="s">
        <v>5090</v>
      </c>
    </row>
    <row r="55" spans="1:4" ht="11.25" customHeight="1">
      <c r="A55" s="1855" t="s">
        <v>1610</v>
      </c>
      <c r="B55" s="1855" t="s">
        <v>5162</v>
      </c>
      <c r="C55" s="1855" t="s">
        <v>5163</v>
      </c>
      <c r="D55" s="1855" t="s">
        <v>5090</v>
      </c>
    </row>
    <row r="56" spans="1:4" ht="11.25" customHeight="1">
      <c r="A56" s="1855" t="s">
        <v>1613</v>
      </c>
      <c r="B56" s="1855" t="s">
        <v>5164</v>
      </c>
      <c r="C56" s="1855" t="s">
        <v>5159</v>
      </c>
      <c r="D56" s="1855" t="s">
        <v>5090</v>
      </c>
    </row>
    <row r="57" spans="1:4" ht="11.25" customHeight="1">
      <c r="A57" s="1855" t="s">
        <v>1616</v>
      </c>
      <c r="B57" s="1855" t="s">
        <v>5165</v>
      </c>
      <c r="C57" s="1855" t="s">
        <v>5163</v>
      </c>
      <c r="D57" s="1855" t="s">
        <v>5096</v>
      </c>
    </row>
    <row r="58" spans="1:4" ht="11.25" customHeight="1">
      <c r="A58" s="1855" t="s">
        <v>1619</v>
      </c>
      <c r="B58" s="1855" t="s">
        <v>5166</v>
      </c>
      <c r="C58" s="1855" t="s">
        <v>5163</v>
      </c>
      <c r="D58" s="1855" t="s">
        <v>5090</v>
      </c>
    </row>
    <row r="59" spans="1:4" ht="11.25" customHeight="1">
      <c r="A59" s="1855" t="s">
        <v>1623</v>
      </c>
      <c r="B59" s="1855" t="s">
        <v>5167</v>
      </c>
      <c r="C59" s="1855" t="s">
        <v>5163</v>
      </c>
      <c r="D59" s="1855" t="s">
        <v>5090</v>
      </c>
    </row>
    <row r="60" spans="1:4" ht="11.25" customHeight="1">
      <c r="A60" s="1855" t="s">
        <v>1626</v>
      </c>
      <c r="B60" s="1855" t="s">
        <v>5168</v>
      </c>
      <c r="C60" s="1855" t="s">
        <v>5163</v>
      </c>
      <c r="D60" s="1855" t="s">
        <v>5129</v>
      </c>
    </row>
    <row r="61" spans="1:4" ht="11.25" customHeight="1">
      <c r="A61" s="1855" t="s">
        <v>4977</v>
      </c>
      <c r="B61" s="1855" t="s">
        <v>5169</v>
      </c>
      <c r="C61" s="1855" t="s">
        <v>5163</v>
      </c>
      <c r="D61" s="1855" t="s">
        <v>5113</v>
      </c>
    </row>
    <row r="62" spans="1:4" ht="11.25" customHeight="1">
      <c r="A62" s="1855" t="s">
        <v>4980</v>
      </c>
      <c r="B62" s="1855" t="s">
        <v>5170</v>
      </c>
      <c r="C62" s="1855" t="s">
        <v>5163</v>
      </c>
      <c r="D62" s="1855" t="s">
        <v>5113</v>
      </c>
    </row>
    <row r="63" spans="1:4" ht="11.25" customHeight="1">
      <c r="A63" s="1855" t="s">
        <v>4983</v>
      </c>
      <c r="B63" s="1855" t="s">
        <v>5171</v>
      </c>
      <c r="C63" s="1855" t="s">
        <v>5163</v>
      </c>
      <c r="D63" s="1855" t="s">
        <v>5113</v>
      </c>
    </row>
    <row r="64" spans="1:4" ht="11.25" customHeight="1">
      <c r="A64" s="1855" t="s">
        <v>4986</v>
      </c>
      <c r="B64" s="1855" t="s">
        <v>5172</v>
      </c>
      <c r="C64" s="1855" t="s">
        <v>5163</v>
      </c>
      <c r="D64" s="1855" t="s">
        <v>5113</v>
      </c>
    </row>
    <row r="65" spans="1:4" ht="11.25" customHeight="1">
      <c r="A65" s="1855" t="s">
        <v>4989</v>
      </c>
      <c r="B65" s="1855" t="s">
        <v>5173</v>
      </c>
      <c r="C65" s="1855" t="s">
        <v>5159</v>
      </c>
      <c r="D65" s="1855" t="s">
        <v>5174</v>
      </c>
    </row>
    <row r="66" spans="1:4" ht="11.25" customHeight="1">
      <c r="A66" s="1855" t="s">
        <v>4992</v>
      </c>
      <c r="B66" s="1855" t="s">
        <v>5175</v>
      </c>
      <c r="C66" s="1855" t="s">
        <v>5108</v>
      </c>
      <c r="D66" s="1855" t="s">
        <v>5096</v>
      </c>
    </row>
    <row r="67" spans="1:4" ht="11.25" customHeight="1">
      <c r="A67" s="1855" t="s">
        <v>1847</v>
      </c>
      <c r="B67" s="1855" t="s">
        <v>5176</v>
      </c>
      <c r="C67" s="1855" t="s">
        <v>5177</v>
      </c>
      <c r="D67" s="1855" t="s">
        <v>5143</v>
      </c>
    </row>
    <row r="68" spans="1:4" ht="11.25" customHeight="1">
      <c r="A68" s="1855" t="s">
        <v>4997</v>
      </c>
      <c r="B68" s="1855" t="s">
        <v>5178</v>
      </c>
      <c r="C68" s="1855" t="s">
        <v>5179</v>
      </c>
      <c r="D68" s="1855" t="s">
        <v>5087</v>
      </c>
    </row>
    <row r="69" spans="1:4" ht="11.25" customHeight="1">
      <c r="A69" s="1855" t="s">
        <v>2058</v>
      </c>
      <c r="B69" s="1855" t="s">
        <v>5180</v>
      </c>
      <c r="C69" s="1855" t="s">
        <v>5179</v>
      </c>
      <c r="D69" s="1855" t="s">
        <v>5090</v>
      </c>
    </row>
    <row r="70" spans="1:4" ht="11.25" customHeight="1">
      <c r="A70" s="1855" t="s">
        <v>5002</v>
      </c>
      <c r="B70" s="1855" t="s">
        <v>5181</v>
      </c>
      <c r="C70" s="1855" t="s">
        <v>5182</v>
      </c>
      <c r="D70" s="1855" t="s">
        <v>5096</v>
      </c>
    </row>
    <row r="71" spans="1:4" ht="11.25" customHeight="1">
      <c r="A71" s="1855" t="s">
        <v>5005</v>
      </c>
      <c r="B71" s="1855" t="s">
        <v>5183</v>
      </c>
      <c r="C71" s="1855" t="s">
        <v>5184</v>
      </c>
      <c r="D71" s="1855" t="s">
        <v>5129</v>
      </c>
    </row>
    <row r="72" spans="1:4" ht="11.25" customHeight="1">
      <c r="A72" s="1855" t="s">
        <v>5008</v>
      </c>
      <c r="B72" s="1855" t="s">
        <v>5185</v>
      </c>
      <c r="C72" s="1855" t="s">
        <v>5184</v>
      </c>
      <c r="D72" s="1855" t="s">
        <v>5090</v>
      </c>
    </row>
    <row r="73" spans="1:4" ht="11.25" customHeight="1">
      <c r="A73" s="1855" t="s">
        <v>5011</v>
      </c>
      <c r="B73" s="1855" t="s">
        <v>5186</v>
      </c>
      <c r="C73" s="1855" t="s">
        <v>5184</v>
      </c>
      <c r="D73" s="1855" t="s">
        <v>5090</v>
      </c>
    </row>
    <row r="74" spans="1:4" ht="11.25" customHeight="1">
      <c r="A74" s="1855" t="s">
        <v>5014</v>
      </c>
      <c r="B74" s="1855" t="s">
        <v>5187</v>
      </c>
      <c r="C74" s="1855" t="s">
        <v>5184</v>
      </c>
      <c r="D74" s="1855" t="s">
        <v>5090</v>
      </c>
    </row>
    <row r="75" spans="1:4" ht="11.25" customHeight="1">
      <c r="A75" s="1855" t="s">
        <v>5017</v>
      </c>
      <c r="B75" s="1855" t="s">
        <v>5188</v>
      </c>
      <c r="C75" s="1855" t="s">
        <v>5184</v>
      </c>
      <c r="D75" s="1855" t="s">
        <v>5090</v>
      </c>
    </row>
    <row r="76" spans="1:4" ht="11.25" customHeight="1">
      <c r="A76" s="1855" t="s">
        <v>5020</v>
      </c>
      <c r="B76" s="1855" t="s">
        <v>5189</v>
      </c>
      <c r="C76" s="1855" t="s">
        <v>5184</v>
      </c>
      <c r="D76" s="1855" t="s">
        <v>5090</v>
      </c>
    </row>
    <row r="77" spans="1:4" ht="11.25" customHeight="1">
      <c r="A77" s="1855" t="s">
        <v>5023</v>
      </c>
      <c r="B77" s="1855" t="s">
        <v>5190</v>
      </c>
      <c r="C77" s="1855" t="s">
        <v>5184</v>
      </c>
      <c r="D77" s="1855" t="s">
        <v>5090</v>
      </c>
    </row>
    <row r="78" spans="1:4" ht="11.25" customHeight="1">
      <c r="A78" s="1855" t="s">
        <v>5026</v>
      </c>
      <c r="B78" s="1855" t="s">
        <v>5191</v>
      </c>
      <c r="C78" s="1855" t="s">
        <v>5192</v>
      </c>
      <c r="D78" s="1855" t="s">
        <v>5103</v>
      </c>
    </row>
    <row r="79" spans="1:4" ht="11.25" customHeight="1">
      <c r="A79" s="1855" t="s">
        <v>5029</v>
      </c>
      <c r="B79" s="1855" t="s">
        <v>5193</v>
      </c>
      <c r="C79" s="1855" t="s">
        <v>5192</v>
      </c>
      <c r="D79" s="1855" t="s">
        <v>5122</v>
      </c>
    </row>
    <row r="80" spans="1:4" ht="11.25" customHeight="1">
      <c r="A80" s="1855" t="s">
        <v>5032</v>
      </c>
      <c r="B80" s="1855" t="s">
        <v>5194</v>
      </c>
      <c r="C80" s="1855" t="s">
        <v>5195</v>
      </c>
      <c r="D80" s="1855" t="s">
        <v>5129</v>
      </c>
    </row>
    <row r="81" spans="1:4" ht="11.25" customHeight="1">
      <c r="A81" s="1855" t="s">
        <v>5035</v>
      </c>
      <c r="B81" s="1855" t="s">
        <v>5196</v>
      </c>
      <c r="C81" s="1855" t="s">
        <v>5197</v>
      </c>
      <c r="D81" s="1855" t="s">
        <v>5090</v>
      </c>
    </row>
    <row r="82" spans="1:4" ht="11.25" customHeight="1">
      <c r="A82" s="1855" t="s">
        <v>5038</v>
      </c>
      <c r="B82" s="1855" t="s">
        <v>5198</v>
      </c>
      <c r="C82" s="1855" t="s">
        <v>5197</v>
      </c>
      <c r="D82" s="1855" t="s">
        <v>5090</v>
      </c>
    </row>
    <row r="83" spans="1:4" ht="11.25" customHeight="1">
      <c r="A83" s="1855" t="s">
        <v>5041</v>
      </c>
      <c r="B83" s="1855" t="s">
        <v>5199</v>
      </c>
      <c r="C83" s="1855" t="s">
        <v>5200</v>
      </c>
      <c r="D83" s="1855" t="s">
        <v>5090</v>
      </c>
    </row>
    <row r="84" spans="1:4" ht="11.25" customHeight="1">
      <c r="A84" s="1855" t="s">
        <v>5044</v>
      </c>
      <c r="B84" s="1855" t="s">
        <v>5201</v>
      </c>
      <c r="C84" s="1855" t="s">
        <v>5197</v>
      </c>
      <c r="D84" s="1855" t="s">
        <v>5090</v>
      </c>
    </row>
    <row r="85" spans="1:4" ht="11.25" customHeight="1">
      <c r="A85" s="1855" t="s">
        <v>5047</v>
      </c>
      <c r="B85" s="1855" t="s">
        <v>5202</v>
      </c>
      <c r="C85" s="1855" t="s">
        <v>5203</v>
      </c>
      <c r="D85" s="1855" t="s">
        <v>5129</v>
      </c>
    </row>
    <row r="86" spans="1:4" ht="11.25" customHeight="1">
      <c r="A86" s="1855" t="s">
        <v>5050</v>
      </c>
      <c r="B86" s="1855" t="s">
        <v>5204</v>
      </c>
      <c r="C86" s="1855" t="s">
        <v>5197</v>
      </c>
      <c r="D86" s="1855" t="s">
        <v>5129</v>
      </c>
    </row>
    <row r="87" spans="1:4" ht="11.25" customHeight="1">
      <c r="A87" s="1855" t="s">
        <v>5055</v>
      </c>
      <c r="B87" s="1855" t="s">
        <v>5205</v>
      </c>
      <c r="C87" s="1855" t="s">
        <v>5203</v>
      </c>
      <c r="D87" s="1855" t="s">
        <v>5101</v>
      </c>
    </row>
    <row r="88" spans="1:4" ht="11.25" customHeight="1">
      <c r="A88" s="1855" t="s">
        <v>5058</v>
      </c>
      <c r="B88" s="1855" t="s">
        <v>5206</v>
      </c>
      <c r="C88" s="1855" t="s">
        <v>5203</v>
      </c>
      <c r="D88" s="1855" t="s">
        <v>5103</v>
      </c>
    </row>
    <row r="89" spans="1:4" ht="11.25" customHeight="1">
      <c r="A89" s="1855" t="s">
        <v>5061</v>
      </c>
      <c r="B89" s="1855" t="s">
        <v>5207</v>
      </c>
      <c r="C89" s="1855" t="s">
        <v>5208</v>
      </c>
      <c r="D89" s="1855" t="s">
        <v>5103</v>
      </c>
    </row>
    <row r="90" spans="1:4" ht="11.25" customHeight="1">
      <c r="A90" s="1855" t="s">
        <v>5064</v>
      </c>
      <c r="B90" s="1855" t="s">
        <v>5209</v>
      </c>
      <c r="C90" s="1855" t="s">
        <v>5208</v>
      </c>
      <c r="D90" s="1855" t="s">
        <v>5103</v>
      </c>
    </row>
    <row r="91" spans="1:4" ht="11.25" customHeight="1">
      <c r="A91" s="1855" t="s">
        <v>5067</v>
      </c>
      <c r="B91" s="1855" t="s">
        <v>5210</v>
      </c>
      <c r="C91" s="1855" t="s">
        <v>5208</v>
      </c>
      <c r="D91" s="1855" t="s">
        <v>5103</v>
      </c>
    </row>
    <row r="92" spans="1:4" ht="11.25" customHeight="1">
      <c r="A92" s="1855" t="s">
        <v>5068</v>
      </c>
      <c r="B92" s="1855" t="s">
        <v>5211</v>
      </c>
      <c r="C92" s="1855" t="s">
        <v>5212</v>
      </c>
      <c r="D92" s="1855" t="s">
        <v>5103</v>
      </c>
    </row>
    <row r="93" spans="1:4" ht="11.25" customHeight="1">
      <c r="A93" s="1855" t="s">
        <v>5071</v>
      </c>
      <c r="B93" s="1855" t="s">
        <v>5213</v>
      </c>
      <c r="C93" s="1855" t="s">
        <v>5203</v>
      </c>
      <c r="D93" s="1855" t="s">
        <v>5113</v>
      </c>
    </row>
    <row r="94" spans="1:4" ht="11.25" customHeight="1">
      <c r="A94" s="1855" t="s">
        <v>5074</v>
      </c>
      <c r="B94" s="1855" t="s">
        <v>5214</v>
      </c>
      <c r="C94" s="1855" t="s">
        <v>5197</v>
      </c>
      <c r="D94" s="1855" t="s">
        <v>5113</v>
      </c>
    </row>
    <row r="95" spans="1:4" ht="11.25" customHeight="1">
      <c r="A95" s="1855" t="s">
        <v>33</v>
      </c>
      <c r="B95" s="1855" t="s">
        <v>5215</v>
      </c>
      <c r="C95" s="1855" t="s">
        <v>5197</v>
      </c>
      <c r="D95" s="1855" t="s">
        <v>5113</v>
      </c>
    </row>
    <row r="96" spans="1:4" ht="11.25" customHeight="1">
      <c r="A96" s="1855" t="s">
        <v>5077</v>
      </c>
      <c r="B96" s="1855" t="s">
        <v>5216</v>
      </c>
      <c r="C96" s="1855" t="s">
        <v>5197</v>
      </c>
      <c r="D96" s="1855" t="s">
        <v>5113</v>
      </c>
    </row>
    <row r="97" spans="1:4" ht="11.25" customHeight="1">
      <c r="A97" s="1855" t="s">
        <v>5217</v>
      </c>
      <c r="B97" s="1855" t="s">
        <v>5218</v>
      </c>
      <c r="C97" s="1855" t="s">
        <v>5208</v>
      </c>
      <c r="D97" s="1855" t="s">
        <v>5101</v>
      </c>
    </row>
    <row r="98" spans="1:4" ht="11.25" customHeight="1">
      <c r="A98" s="1855" t="s">
        <v>5219</v>
      </c>
      <c r="B98" s="1855" t="s">
        <v>5220</v>
      </c>
      <c r="C98" s="1855" t="s">
        <v>5221</v>
      </c>
      <c r="D98" s="1855" t="s">
        <v>5090</v>
      </c>
    </row>
    <row r="99" spans="1:4" ht="11.25" customHeight="1">
      <c r="A99" s="1855" t="s">
        <v>5222</v>
      </c>
      <c r="B99" s="1855" t="s">
        <v>5223</v>
      </c>
      <c r="C99" s="1855" t="s">
        <v>5224</v>
      </c>
      <c r="D99" s="1855" t="s">
        <v>5103</v>
      </c>
    </row>
    <row r="100" spans="1:4" ht="11.25" customHeight="1">
      <c r="A100" s="1855" t="s">
        <v>5225</v>
      </c>
      <c r="B100" s="1855" t="s">
        <v>5226</v>
      </c>
      <c r="C100" s="1855" t="s">
        <v>5197</v>
      </c>
      <c r="D100" s="1855" t="s">
        <v>5113</v>
      </c>
    </row>
    <row r="101" spans="1:4" ht="11.25" customHeight="1">
      <c r="A101" s="1855" t="s">
        <v>5227</v>
      </c>
      <c r="B101" s="1855" t="s">
        <v>5228</v>
      </c>
      <c r="C101" s="1855" t="s">
        <v>5197</v>
      </c>
      <c r="D101" s="1855" t="s">
        <v>5096</v>
      </c>
    </row>
    <row r="102" spans="1:4" ht="11.25" customHeight="1">
      <c r="A102" s="1855" t="s">
        <v>5229</v>
      </c>
      <c r="B102" s="1855" t="s">
        <v>5230</v>
      </c>
      <c r="C102" s="1855" t="s">
        <v>5203</v>
      </c>
      <c r="D102" s="1855" t="s">
        <v>5231</v>
      </c>
    </row>
    <row r="103" spans="1:4" ht="11.25" customHeight="1">
      <c r="A103" s="1855" t="s">
        <v>5232</v>
      </c>
      <c r="B103" s="1855" t="s">
        <v>5233</v>
      </c>
      <c r="C103" s="1855" t="s">
        <v>5224</v>
      </c>
      <c r="D103" s="1855" t="s">
        <v>5101</v>
      </c>
    </row>
    <row r="104" spans="1:4" ht="11.25" customHeight="1">
      <c r="A104" s="1855" t="s">
        <v>5234</v>
      </c>
      <c r="B104" s="1855" t="s">
        <v>5235</v>
      </c>
      <c r="C104" s="1855" t="s">
        <v>5203</v>
      </c>
      <c r="D104" s="1855" t="s">
        <v>5113</v>
      </c>
    </row>
    <row r="105" spans="1:4" ht="11.25" customHeight="1">
      <c r="A105" s="1855" t="s">
        <v>5236</v>
      </c>
      <c r="B105" s="1855" t="s">
        <v>5237</v>
      </c>
      <c r="C105" s="1855" t="s">
        <v>5224</v>
      </c>
      <c r="D105" s="1855" t="s">
        <v>5103</v>
      </c>
    </row>
    <row r="106" spans="1:4" ht="11.25" customHeight="1">
      <c r="A106" s="1855" t="s">
        <v>5238</v>
      </c>
      <c r="B106" s="1855" t="s">
        <v>5239</v>
      </c>
      <c r="C106" s="1855" t="s">
        <v>5221</v>
      </c>
      <c r="D106" s="1855" t="s">
        <v>5113</v>
      </c>
    </row>
    <row r="107" spans="1:4" ht="11.25" customHeight="1">
      <c r="A107" s="1855" t="s">
        <v>5240</v>
      </c>
      <c r="B107" s="1855" t="s">
        <v>5241</v>
      </c>
      <c r="C107" s="1855" t="s">
        <v>5242</v>
      </c>
      <c r="D107" s="1855" t="s">
        <v>5129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856"/>
  </cols>
  <sheetData>
    <row r="1" spans="1:2" ht="11.25" customHeight="1">
      <c r="A1" s="83" t="s">
        <v>68</v>
      </c>
      <c r="B1" s="83" t="s">
        <v>5243</v>
      </c>
    </row>
    <row r="2" spans="1:2" ht="11.25" customHeight="1">
      <c r="A2" s="1" t="s">
        <v>32</v>
      </c>
      <c r="B2" s="1" t="s">
        <v>5244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854"/>
    <col min="2" max="2" width="65.28515625" style="1854" customWidth="1"/>
  </cols>
  <sheetData>
    <row r="1" spans="1:2" ht="11.25" customHeight="1">
      <c r="A1" s="638" t="s">
        <v>5245</v>
      </c>
      <c r="B1" s="638" t="s">
        <v>5246</v>
      </c>
    </row>
    <row r="2" spans="1:2" ht="11.25" customHeight="1">
      <c r="A2" s="638">
        <v>4213775</v>
      </c>
      <c r="B2" s="638" t="s">
        <v>1145</v>
      </c>
    </row>
    <row r="3" spans="1:2" ht="11.25" customHeight="1">
      <c r="A3" s="638">
        <v>4213784</v>
      </c>
      <c r="B3" s="638" t="s">
        <v>1179</v>
      </c>
    </row>
    <row r="4" spans="1:2" ht="11.25" customHeight="1">
      <c r="A4" s="638">
        <v>4213781</v>
      </c>
      <c r="B4" s="638" t="s">
        <v>1172</v>
      </c>
    </row>
    <row r="5" spans="1:2" ht="11.25" customHeight="1">
      <c r="A5" s="638">
        <v>4213776</v>
      </c>
      <c r="B5" s="638" t="s">
        <v>104</v>
      </c>
    </row>
    <row r="6" spans="1:2" ht="11.25" customHeight="1">
      <c r="A6" s="638">
        <v>4213777</v>
      </c>
      <c r="B6" s="638" t="s">
        <v>110</v>
      </c>
    </row>
    <row r="7" spans="1:2" ht="11.25" customHeight="1">
      <c r="A7" s="638">
        <v>4213778</v>
      </c>
      <c r="B7" s="638" t="s">
        <v>116</v>
      </c>
    </row>
    <row r="8" spans="1:2" ht="11.25" customHeight="1">
      <c r="A8" s="638">
        <v>4213780</v>
      </c>
      <c r="B8" s="638" t="s">
        <v>122</v>
      </c>
    </row>
    <row r="9" spans="1:2" ht="11.25" customHeight="1">
      <c r="A9" s="638">
        <v>4213779</v>
      </c>
      <c r="B9" s="638" t="s">
        <v>1311</v>
      </c>
    </row>
    <row r="10" spans="1:2" ht="11.25" customHeight="1">
      <c r="A10" s="638">
        <v>4213783</v>
      </c>
      <c r="B10" s="638" t="s">
        <v>1326</v>
      </c>
    </row>
    <row r="11" spans="1:2" ht="11.25" customHeight="1">
      <c r="A11" s="638">
        <v>4213782</v>
      </c>
      <c r="B11" s="638" t="s">
        <v>128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854"/>
    <col min="2" max="2" width="65.28515625" style="1854" customWidth="1"/>
  </cols>
  <sheetData>
    <row r="1" spans="1:2" ht="11.25" customHeight="1">
      <c r="A1" s="638" t="s">
        <v>5245</v>
      </c>
      <c r="B1" s="638" t="s">
        <v>5247</v>
      </c>
    </row>
    <row r="2" spans="1:2" ht="11.25" customHeight="1">
      <c r="A2" s="638" t="s">
        <v>5248</v>
      </c>
      <c r="B2" s="638" t="s">
        <v>1423</v>
      </c>
    </row>
    <row r="3" spans="1:2" ht="11.25" customHeight="1">
      <c r="A3" s="638" t="s">
        <v>5249</v>
      </c>
      <c r="B3" s="638" t="s">
        <v>1433</v>
      </c>
    </row>
    <row r="4" spans="1:2" ht="11.25" customHeight="1">
      <c r="A4" s="638" t="s">
        <v>5250</v>
      </c>
      <c r="B4" s="638" t="s">
        <v>1442</v>
      </c>
    </row>
    <row r="5" spans="1:2" ht="11.25" customHeight="1">
      <c r="A5" s="638" t="s">
        <v>5251</v>
      </c>
      <c r="B5" s="638" t="s">
        <v>1451</v>
      </c>
    </row>
    <row r="6" spans="1:2" ht="11.25" customHeight="1">
      <c r="A6" s="638" t="s">
        <v>5252</v>
      </c>
      <c r="B6" s="638" t="s">
        <v>1457</v>
      </c>
    </row>
    <row r="7" spans="1:2" ht="11.25" customHeight="1">
      <c r="A7" s="638" t="s">
        <v>5253</v>
      </c>
      <c r="B7" s="638" t="s">
        <v>1465</v>
      </c>
    </row>
    <row r="8" spans="1:2" ht="11.25" customHeight="1">
      <c r="A8" s="638" t="s">
        <v>5254</v>
      </c>
      <c r="B8" s="638" t="s">
        <v>1472</v>
      </c>
    </row>
    <row r="9" spans="1:2" ht="11.25" customHeight="1">
      <c r="A9" s="638" t="s">
        <v>5255</v>
      </c>
      <c r="B9" s="638" t="s">
        <v>1478</v>
      </c>
    </row>
    <row r="10" spans="1:2" ht="11.25" customHeight="1">
      <c r="A10" s="638" t="s">
        <v>5256</v>
      </c>
      <c r="B10" s="638" t="s">
        <v>1482</v>
      </c>
    </row>
    <row r="11" spans="1:2" ht="11.25" customHeight="1">
      <c r="A11" s="638" t="s">
        <v>5257</v>
      </c>
      <c r="B11" s="638" t="s">
        <v>1489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G96"/>
  <sheetViews>
    <sheetView showGridLines="0" workbookViewId="0"/>
  </sheetViews>
  <sheetFormatPr defaultRowHeight="11.25" customHeight="1"/>
  <sheetData>
    <row r="1" spans="1:7" ht="11.25" customHeight="1">
      <c r="A1" s="257" t="s">
        <v>4844</v>
      </c>
      <c r="B1" s="257" t="s">
        <v>4845</v>
      </c>
      <c r="C1" s="257" t="s">
        <v>4846</v>
      </c>
      <c r="D1" s="257" t="s">
        <v>4847</v>
      </c>
      <c r="E1" t="s">
        <v>4848</v>
      </c>
      <c r="F1" t="s">
        <v>4849</v>
      </c>
      <c r="G1" t="s">
        <v>4850</v>
      </c>
    </row>
    <row r="2" spans="1:7" ht="11.25" customHeight="1">
      <c r="A2" t="s">
        <v>0</v>
      </c>
      <c r="B2" t="s">
        <v>4851</v>
      </c>
      <c r="C2" t="s">
        <v>4852</v>
      </c>
      <c r="D2" t="s">
        <v>4851</v>
      </c>
      <c r="E2" t="s">
        <v>4852</v>
      </c>
      <c r="F2" t="s">
        <v>4853</v>
      </c>
      <c r="G2" t="s">
        <v>43</v>
      </c>
    </row>
    <row r="3" spans="1:7" ht="11.25" customHeight="1">
      <c r="A3" t="s">
        <v>0</v>
      </c>
      <c r="B3" t="s">
        <v>4854</v>
      </c>
      <c r="C3" t="s">
        <v>4855</v>
      </c>
      <c r="D3" t="s">
        <v>4854</v>
      </c>
      <c r="E3" t="s">
        <v>4855</v>
      </c>
      <c r="F3" t="s">
        <v>4853</v>
      </c>
      <c r="G3" t="s">
        <v>44</v>
      </c>
    </row>
    <row r="4" spans="1:7" ht="11.25" customHeight="1">
      <c r="A4" t="s">
        <v>0</v>
      </c>
      <c r="B4" t="s">
        <v>4856</v>
      </c>
      <c r="C4" t="s">
        <v>4857</v>
      </c>
      <c r="D4" t="s">
        <v>4856</v>
      </c>
      <c r="E4" t="s">
        <v>4857</v>
      </c>
      <c r="F4" t="s">
        <v>4853</v>
      </c>
      <c r="G4" t="s">
        <v>24</v>
      </c>
    </row>
    <row r="5" spans="1:7" ht="11.25" customHeight="1">
      <c r="A5" t="s">
        <v>0</v>
      </c>
      <c r="B5" t="s">
        <v>4858</v>
      </c>
      <c r="C5" t="s">
        <v>4859</v>
      </c>
      <c r="D5" t="s">
        <v>4858</v>
      </c>
      <c r="E5" t="s">
        <v>4859</v>
      </c>
      <c r="F5" t="s">
        <v>4853</v>
      </c>
      <c r="G5" t="s">
        <v>25</v>
      </c>
    </row>
    <row r="6" spans="1:7" ht="11.25" customHeight="1">
      <c r="A6" t="s">
        <v>0</v>
      </c>
      <c r="B6" t="s">
        <v>4860</v>
      </c>
      <c r="C6" t="s">
        <v>4861</v>
      </c>
      <c r="D6" t="s">
        <v>4860</v>
      </c>
      <c r="E6" t="s">
        <v>4861</v>
      </c>
      <c r="F6" t="s">
        <v>4853</v>
      </c>
      <c r="G6" t="s">
        <v>45</v>
      </c>
    </row>
    <row r="7" spans="1:7" ht="11.25" customHeight="1">
      <c r="A7" t="s">
        <v>0</v>
      </c>
      <c r="B7" t="s">
        <v>4862</v>
      </c>
      <c r="C7" t="s">
        <v>4863</v>
      </c>
      <c r="D7" t="s">
        <v>4864</v>
      </c>
      <c r="E7" t="s">
        <v>4865</v>
      </c>
      <c r="F7" t="s">
        <v>4866</v>
      </c>
      <c r="G7" t="s">
        <v>26</v>
      </c>
    </row>
    <row r="8" spans="1:7" ht="11.25" customHeight="1">
      <c r="A8" t="s">
        <v>0</v>
      </c>
      <c r="B8" t="s">
        <v>4862</v>
      </c>
      <c r="C8" t="s">
        <v>4863</v>
      </c>
      <c r="D8" t="s">
        <v>4862</v>
      </c>
      <c r="E8" t="s">
        <v>4863</v>
      </c>
      <c r="F8" t="s">
        <v>4867</v>
      </c>
      <c r="G8" t="s">
        <v>27</v>
      </c>
    </row>
    <row r="9" spans="1:7" ht="11.25" customHeight="1">
      <c r="A9" t="s">
        <v>0</v>
      </c>
      <c r="B9" t="s">
        <v>4862</v>
      </c>
      <c r="C9" t="s">
        <v>4863</v>
      </c>
      <c r="D9" t="s">
        <v>4868</v>
      </c>
      <c r="E9" t="s">
        <v>4869</v>
      </c>
      <c r="F9" t="s">
        <v>4866</v>
      </c>
      <c r="G9" t="s">
        <v>46</v>
      </c>
    </row>
    <row r="10" spans="1:7" ht="11.25" customHeight="1">
      <c r="A10" t="s">
        <v>0</v>
      </c>
      <c r="B10" t="s">
        <v>4862</v>
      </c>
      <c r="C10" t="s">
        <v>4863</v>
      </c>
      <c r="D10" t="s">
        <v>4870</v>
      </c>
      <c r="E10" t="s">
        <v>4871</v>
      </c>
      <c r="F10" t="s">
        <v>4866</v>
      </c>
      <c r="G10" t="s">
        <v>86</v>
      </c>
    </row>
    <row r="11" spans="1:7" ht="11.25" customHeight="1">
      <c r="A11" t="s">
        <v>0</v>
      </c>
      <c r="B11" t="s">
        <v>4872</v>
      </c>
      <c r="C11" t="s">
        <v>4873</v>
      </c>
      <c r="D11" t="s">
        <v>4872</v>
      </c>
      <c r="E11" t="s">
        <v>4873</v>
      </c>
      <c r="F11" t="s">
        <v>4853</v>
      </c>
      <c r="G11" t="s">
        <v>87</v>
      </c>
    </row>
    <row r="12" spans="1:7" ht="11.25" customHeight="1">
      <c r="A12" t="s">
        <v>0</v>
      </c>
      <c r="B12" t="s">
        <v>4874</v>
      </c>
      <c r="C12" t="s">
        <v>4875</v>
      </c>
      <c r="D12" t="s">
        <v>4874</v>
      </c>
      <c r="E12" t="s">
        <v>4875</v>
      </c>
      <c r="F12" t="s">
        <v>4853</v>
      </c>
      <c r="G12" t="s">
        <v>88</v>
      </c>
    </row>
    <row r="13" spans="1:7" ht="11.25" customHeight="1">
      <c r="A13" t="s">
        <v>0</v>
      </c>
      <c r="B13" t="s">
        <v>4876</v>
      </c>
      <c r="C13" t="s">
        <v>4877</v>
      </c>
      <c r="D13" t="s">
        <v>4876</v>
      </c>
      <c r="E13" t="s">
        <v>4877</v>
      </c>
      <c r="F13" t="s">
        <v>4853</v>
      </c>
      <c r="G13" t="s">
        <v>89</v>
      </c>
    </row>
    <row r="14" spans="1:7" ht="11.25" customHeight="1">
      <c r="A14" t="s">
        <v>0</v>
      </c>
      <c r="B14" t="s">
        <v>4878</v>
      </c>
      <c r="C14" t="s">
        <v>4879</v>
      </c>
      <c r="D14" t="s">
        <v>4878</v>
      </c>
      <c r="E14" t="s">
        <v>4879</v>
      </c>
      <c r="F14" t="s">
        <v>4853</v>
      </c>
      <c r="G14" t="s">
        <v>90</v>
      </c>
    </row>
    <row r="15" spans="1:7" ht="11.25" customHeight="1">
      <c r="A15" t="s">
        <v>0</v>
      </c>
      <c r="B15" t="s">
        <v>4880</v>
      </c>
      <c r="C15" t="s">
        <v>4881</v>
      </c>
      <c r="D15" t="s">
        <v>4880</v>
      </c>
      <c r="E15" t="s">
        <v>4881</v>
      </c>
      <c r="F15" t="s">
        <v>4853</v>
      </c>
      <c r="G15" t="s">
        <v>91</v>
      </c>
    </row>
    <row r="16" spans="1:7" ht="11.25" customHeight="1">
      <c r="A16" t="s">
        <v>0</v>
      </c>
      <c r="B16" t="s">
        <v>4882</v>
      </c>
      <c r="C16" t="s">
        <v>4883</v>
      </c>
      <c r="D16" t="s">
        <v>4882</v>
      </c>
      <c r="E16" t="s">
        <v>4883</v>
      </c>
      <c r="F16" t="s">
        <v>4853</v>
      </c>
      <c r="G16" t="s">
        <v>1386</v>
      </c>
    </row>
    <row r="17" spans="1:7" ht="11.25" customHeight="1">
      <c r="A17" t="s">
        <v>0</v>
      </c>
      <c r="B17" t="s">
        <v>4884</v>
      </c>
      <c r="C17" t="s">
        <v>4885</v>
      </c>
      <c r="D17" t="s">
        <v>4884</v>
      </c>
      <c r="E17" t="s">
        <v>4885</v>
      </c>
      <c r="F17" t="s">
        <v>4853</v>
      </c>
      <c r="G17" t="s">
        <v>1392</v>
      </c>
    </row>
    <row r="18" spans="1:7" ht="11.25" customHeight="1">
      <c r="A18" t="s">
        <v>0</v>
      </c>
      <c r="B18" t="s">
        <v>4886</v>
      </c>
      <c r="C18" t="s">
        <v>4887</v>
      </c>
      <c r="D18" t="s">
        <v>4886</v>
      </c>
      <c r="E18" t="s">
        <v>4887</v>
      </c>
      <c r="F18" t="s">
        <v>4853</v>
      </c>
      <c r="G18" t="s">
        <v>1403</v>
      </c>
    </row>
    <row r="19" spans="1:7" ht="11.25" customHeight="1">
      <c r="A19" t="s">
        <v>0</v>
      </c>
      <c r="B19" t="s">
        <v>4888</v>
      </c>
      <c r="C19" t="s">
        <v>4889</v>
      </c>
      <c r="D19" t="s">
        <v>4888</v>
      </c>
      <c r="E19" t="s">
        <v>4889</v>
      </c>
      <c r="F19" t="s">
        <v>4853</v>
      </c>
      <c r="G19" t="s">
        <v>1417</v>
      </c>
    </row>
    <row r="20" spans="1:7" ht="11.25" customHeight="1">
      <c r="A20" t="s">
        <v>0</v>
      </c>
      <c r="B20" t="s">
        <v>4890</v>
      </c>
      <c r="C20" t="s">
        <v>4891</v>
      </c>
      <c r="D20" t="s">
        <v>4890</v>
      </c>
      <c r="E20" t="s">
        <v>4891</v>
      </c>
      <c r="F20" t="s">
        <v>4853</v>
      </c>
      <c r="G20" t="s">
        <v>1429</v>
      </c>
    </row>
    <row r="21" spans="1:7" ht="11.25" customHeight="1">
      <c r="A21" t="s">
        <v>0</v>
      </c>
      <c r="B21" t="s">
        <v>4892</v>
      </c>
      <c r="C21" t="s">
        <v>4893</v>
      </c>
      <c r="D21" t="s">
        <v>4892</v>
      </c>
      <c r="E21" t="s">
        <v>4893</v>
      </c>
      <c r="F21" t="s">
        <v>4853</v>
      </c>
      <c r="G21" t="s">
        <v>1438</v>
      </c>
    </row>
    <row r="22" spans="1:7" ht="11.25" customHeight="1">
      <c r="A22" t="s">
        <v>0</v>
      </c>
      <c r="B22" t="s">
        <v>4894</v>
      </c>
      <c r="C22" t="s">
        <v>4895</v>
      </c>
      <c r="D22" t="s">
        <v>4894</v>
      </c>
      <c r="E22" t="s">
        <v>4895</v>
      </c>
      <c r="F22" t="s">
        <v>4853</v>
      </c>
      <c r="G22" t="s">
        <v>1454</v>
      </c>
    </row>
    <row r="23" spans="1:7" ht="11.25" customHeight="1">
      <c r="A23" t="s">
        <v>0</v>
      </c>
      <c r="B23" t="s">
        <v>4896</v>
      </c>
      <c r="C23" t="s">
        <v>4897</v>
      </c>
      <c r="D23" t="s">
        <v>4896</v>
      </c>
      <c r="E23" t="s">
        <v>4897</v>
      </c>
      <c r="F23" t="s">
        <v>4853</v>
      </c>
      <c r="G23" t="s">
        <v>1461</v>
      </c>
    </row>
    <row r="24" spans="1:7" ht="11.25" customHeight="1">
      <c r="A24" t="s">
        <v>0</v>
      </c>
      <c r="B24" t="s">
        <v>4898</v>
      </c>
      <c r="C24" t="s">
        <v>4899</v>
      </c>
      <c r="D24" t="s">
        <v>4898</v>
      </c>
      <c r="E24" t="s">
        <v>4899</v>
      </c>
      <c r="F24" t="s">
        <v>4853</v>
      </c>
      <c r="G24" t="s">
        <v>1469</v>
      </c>
    </row>
    <row r="25" spans="1:7" ht="11.25" customHeight="1">
      <c r="A25" t="s">
        <v>0</v>
      </c>
      <c r="B25" t="s">
        <v>4900</v>
      </c>
      <c r="C25" t="s">
        <v>4901</v>
      </c>
      <c r="D25" t="s">
        <v>4900</v>
      </c>
      <c r="E25" t="s">
        <v>4901</v>
      </c>
      <c r="F25" t="s">
        <v>4853</v>
      </c>
      <c r="G25" t="s">
        <v>1476</v>
      </c>
    </row>
    <row r="26" spans="1:7" ht="11.25" customHeight="1">
      <c r="A26" t="s">
        <v>0</v>
      </c>
      <c r="B26" t="s">
        <v>4902</v>
      </c>
      <c r="C26" t="s">
        <v>4903</v>
      </c>
      <c r="D26" t="s">
        <v>4902</v>
      </c>
      <c r="E26" t="s">
        <v>4903</v>
      </c>
      <c r="F26" t="s">
        <v>4853</v>
      </c>
      <c r="G26" t="s">
        <v>1480</v>
      </c>
    </row>
    <row r="27" spans="1:7" ht="11.25" customHeight="1">
      <c r="A27" t="s">
        <v>0</v>
      </c>
      <c r="B27" t="s">
        <v>4904</v>
      </c>
      <c r="C27" t="s">
        <v>4905</v>
      </c>
      <c r="D27" t="s">
        <v>4904</v>
      </c>
      <c r="E27" t="s">
        <v>4905</v>
      </c>
      <c r="F27" t="s">
        <v>4853</v>
      </c>
      <c r="G27" t="s">
        <v>1485</v>
      </c>
    </row>
    <row r="28" spans="1:7" ht="11.25" customHeight="1">
      <c r="A28" t="s">
        <v>0</v>
      </c>
      <c r="B28" t="s">
        <v>4906</v>
      </c>
      <c r="C28" t="s">
        <v>4907</v>
      </c>
      <c r="D28" t="s">
        <v>4906</v>
      </c>
      <c r="E28" t="s">
        <v>4907</v>
      </c>
      <c r="F28" t="s">
        <v>4853</v>
      </c>
      <c r="G28" t="s">
        <v>1493</v>
      </c>
    </row>
    <row r="29" spans="1:7" ht="11.25" customHeight="1">
      <c r="A29" t="s">
        <v>0</v>
      </c>
      <c r="B29" t="s">
        <v>4908</v>
      </c>
      <c r="C29" t="s">
        <v>4909</v>
      </c>
      <c r="D29" t="s">
        <v>4910</v>
      </c>
      <c r="E29" t="s">
        <v>4911</v>
      </c>
      <c r="F29" t="s">
        <v>4912</v>
      </c>
      <c r="G29" t="s">
        <v>1495</v>
      </c>
    </row>
    <row r="30" spans="1:7" ht="11.25" customHeight="1">
      <c r="A30" t="s">
        <v>0</v>
      </c>
      <c r="B30" t="s">
        <v>4908</v>
      </c>
      <c r="C30" t="s">
        <v>4909</v>
      </c>
      <c r="D30" t="s">
        <v>4913</v>
      </c>
      <c r="E30" t="s">
        <v>4914</v>
      </c>
      <c r="F30" t="s">
        <v>4866</v>
      </c>
      <c r="G30" t="s">
        <v>1498</v>
      </c>
    </row>
    <row r="31" spans="1:7" ht="11.25" customHeight="1">
      <c r="A31" t="s">
        <v>0</v>
      </c>
      <c r="B31" t="s">
        <v>4908</v>
      </c>
      <c r="C31" t="s">
        <v>4909</v>
      </c>
      <c r="D31" t="s">
        <v>4915</v>
      </c>
      <c r="E31" t="s">
        <v>4916</v>
      </c>
      <c r="F31" t="s">
        <v>4917</v>
      </c>
      <c r="G31" t="s">
        <v>1504</v>
      </c>
    </row>
    <row r="32" spans="1:7" ht="11.25" customHeight="1">
      <c r="A32" t="s">
        <v>0</v>
      </c>
      <c r="B32" t="s">
        <v>4908</v>
      </c>
      <c r="C32" t="s">
        <v>4909</v>
      </c>
      <c r="D32" t="s">
        <v>4908</v>
      </c>
      <c r="E32" t="s">
        <v>4909</v>
      </c>
      <c r="F32" t="s">
        <v>4867</v>
      </c>
      <c r="G32" t="s">
        <v>1506</v>
      </c>
    </row>
    <row r="33" spans="1:7" ht="11.25" customHeight="1">
      <c r="A33" t="s">
        <v>0</v>
      </c>
      <c r="B33" t="s">
        <v>4908</v>
      </c>
      <c r="C33" t="s">
        <v>4909</v>
      </c>
      <c r="D33" t="s">
        <v>4918</v>
      </c>
      <c r="E33" t="s">
        <v>4919</v>
      </c>
      <c r="F33" t="s">
        <v>4917</v>
      </c>
      <c r="G33" t="s">
        <v>1508</v>
      </c>
    </row>
    <row r="34" spans="1:7" ht="11.25" customHeight="1">
      <c r="A34" t="s">
        <v>0</v>
      </c>
      <c r="B34" t="s">
        <v>4908</v>
      </c>
      <c r="C34" t="s">
        <v>4909</v>
      </c>
      <c r="D34" t="s">
        <v>4920</v>
      </c>
      <c r="E34" t="s">
        <v>4921</v>
      </c>
      <c r="F34" t="s">
        <v>4912</v>
      </c>
      <c r="G34" t="s">
        <v>1510</v>
      </c>
    </row>
    <row r="35" spans="1:7" ht="11.25" customHeight="1">
      <c r="A35" t="s">
        <v>0</v>
      </c>
      <c r="B35" t="s">
        <v>4908</v>
      </c>
      <c r="C35" t="s">
        <v>4909</v>
      </c>
      <c r="D35" t="s">
        <v>4922</v>
      </c>
      <c r="E35" t="s">
        <v>4923</v>
      </c>
      <c r="F35" t="s">
        <v>4912</v>
      </c>
      <c r="G35" t="s">
        <v>1515</v>
      </c>
    </row>
    <row r="36" spans="1:7" ht="11.25" customHeight="1">
      <c r="A36" t="s">
        <v>0</v>
      </c>
      <c r="B36" t="s">
        <v>4924</v>
      </c>
      <c r="C36" t="s">
        <v>4925</v>
      </c>
      <c r="D36" t="s">
        <v>4924</v>
      </c>
      <c r="E36" t="s">
        <v>4925</v>
      </c>
      <c r="F36" t="s">
        <v>4853</v>
      </c>
      <c r="G36" t="s">
        <v>1520</v>
      </c>
    </row>
    <row r="37" spans="1:7" ht="11.25" customHeight="1">
      <c r="A37" t="s">
        <v>0</v>
      </c>
      <c r="B37" t="s">
        <v>4926</v>
      </c>
      <c r="C37" t="s">
        <v>4927</v>
      </c>
      <c r="D37" t="s">
        <v>4926</v>
      </c>
      <c r="E37" t="s">
        <v>4927</v>
      </c>
      <c r="F37" t="s">
        <v>4853</v>
      </c>
      <c r="G37" t="s">
        <v>1524</v>
      </c>
    </row>
    <row r="38" spans="1:7" ht="11.25" customHeight="1">
      <c r="A38" t="s">
        <v>0</v>
      </c>
      <c r="B38" t="s">
        <v>4928</v>
      </c>
      <c r="C38" t="s">
        <v>4929</v>
      </c>
      <c r="D38" t="s">
        <v>4928</v>
      </c>
      <c r="E38" t="s">
        <v>4929</v>
      </c>
      <c r="F38" t="s">
        <v>4853</v>
      </c>
      <c r="G38" t="s">
        <v>1532</v>
      </c>
    </row>
    <row r="39" spans="1:7" ht="11.25" customHeight="1">
      <c r="A39" t="s">
        <v>0</v>
      </c>
      <c r="B39" t="s">
        <v>4930</v>
      </c>
      <c r="C39" t="s">
        <v>4931</v>
      </c>
      <c r="D39" t="s">
        <v>4930</v>
      </c>
      <c r="E39" t="s">
        <v>4931</v>
      </c>
      <c r="F39" t="s">
        <v>4853</v>
      </c>
      <c r="G39" t="s">
        <v>1538</v>
      </c>
    </row>
    <row r="40" spans="1:7" ht="11.25" customHeight="1">
      <c r="A40" t="s">
        <v>0</v>
      </c>
      <c r="B40" t="s">
        <v>4932</v>
      </c>
      <c r="C40" t="s">
        <v>4933</v>
      </c>
      <c r="D40" t="s">
        <v>4932</v>
      </c>
      <c r="E40" t="s">
        <v>4933</v>
      </c>
      <c r="F40" t="s">
        <v>4853</v>
      </c>
      <c r="G40" t="s">
        <v>1543</v>
      </c>
    </row>
    <row r="41" spans="1:7" ht="11.25" customHeight="1">
      <c r="A41" t="s">
        <v>0</v>
      </c>
      <c r="B41" t="s">
        <v>4934</v>
      </c>
      <c r="C41" t="s">
        <v>4935</v>
      </c>
      <c r="D41" t="s">
        <v>4934</v>
      </c>
      <c r="E41" t="s">
        <v>4935</v>
      </c>
      <c r="F41" t="s">
        <v>4853</v>
      </c>
      <c r="G41" t="s">
        <v>1547</v>
      </c>
    </row>
    <row r="42" spans="1:7" ht="11.25" customHeight="1">
      <c r="A42" t="s">
        <v>0</v>
      </c>
      <c r="B42" t="s">
        <v>4936</v>
      </c>
      <c r="C42" t="s">
        <v>4937</v>
      </c>
      <c r="D42" t="s">
        <v>4936</v>
      </c>
      <c r="E42" t="s">
        <v>4937</v>
      </c>
      <c r="F42" t="s">
        <v>4853</v>
      </c>
      <c r="G42" t="s">
        <v>1550</v>
      </c>
    </row>
    <row r="43" spans="1:7" ht="11.25" customHeight="1">
      <c r="A43" t="s">
        <v>0</v>
      </c>
      <c r="B43" t="s">
        <v>4938</v>
      </c>
      <c r="C43" t="s">
        <v>4939</v>
      </c>
      <c r="D43" t="s">
        <v>4938</v>
      </c>
      <c r="E43" t="s">
        <v>4939</v>
      </c>
      <c r="F43" t="s">
        <v>4853</v>
      </c>
      <c r="G43" t="s">
        <v>1557</v>
      </c>
    </row>
    <row r="44" spans="1:7" ht="11.25" customHeight="1">
      <c r="A44" t="s">
        <v>0</v>
      </c>
      <c r="B44" t="s">
        <v>4940</v>
      </c>
      <c r="C44" t="s">
        <v>4941</v>
      </c>
      <c r="D44" t="s">
        <v>4942</v>
      </c>
      <c r="E44" t="s">
        <v>4943</v>
      </c>
      <c r="F44" t="s">
        <v>4866</v>
      </c>
      <c r="G44" t="s">
        <v>1566</v>
      </c>
    </row>
    <row r="45" spans="1:7" ht="11.25" customHeight="1">
      <c r="A45" t="s">
        <v>0</v>
      </c>
      <c r="B45" t="s">
        <v>4940</v>
      </c>
      <c r="C45" t="s">
        <v>4941</v>
      </c>
      <c r="D45" t="s">
        <v>4944</v>
      </c>
      <c r="E45" t="s">
        <v>4945</v>
      </c>
      <c r="F45" t="s">
        <v>4866</v>
      </c>
      <c r="G45" t="s">
        <v>1571</v>
      </c>
    </row>
    <row r="46" spans="1:7" ht="11.25" customHeight="1">
      <c r="A46" t="s">
        <v>0</v>
      </c>
      <c r="B46" t="s">
        <v>4940</v>
      </c>
      <c r="C46" t="s">
        <v>4941</v>
      </c>
      <c r="D46" t="s">
        <v>4940</v>
      </c>
      <c r="E46" t="s">
        <v>4941</v>
      </c>
      <c r="F46" t="s">
        <v>4867</v>
      </c>
      <c r="G46" t="s">
        <v>1574</v>
      </c>
    </row>
    <row r="47" spans="1:7" ht="11.25" customHeight="1">
      <c r="A47" t="s">
        <v>0</v>
      </c>
      <c r="B47" t="s">
        <v>4940</v>
      </c>
      <c r="C47" t="s">
        <v>4941</v>
      </c>
      <c r="D47" t="s">
        <v>4946</v>
      </c>
      <c r="E47" t="s">
        <v>4947</v>
      </c>
      <c r="F47" t="s">
        <v>4866</v>
      </c>
      <c r="G47" t="s">
        <v>1580</v>
      </c>
    </row>
    <row r="48" spans="1:7" ht="11.25" customHeight="1">
      <c r="A48" t="s">
        <v>0</v>
      </c>
      <c r="B48" t="s">
        <v>4940</v>
      </c>
      <c r="C48" t="s">
        <v>4941</v>
      </c>
      <c r="D48" t="s">
        <v>4948</v>
      </c>
      <c r="E48" t="s">
        <v>4949</v>
      </c>
      <c r="F48" t="s">
        <v>4866</v>
      </c>
      <c r="G48" t="s">
        <v>1585</v>
      </c>
    </row>
    <row r="49" spans="1:7" ht="11.25" customHeight="1">
      <c r="A49" t="s">
        <v>0</v>
      </c>
      <c r="B49" t="s">
        <v>4950</v>
      </c>
      <c r="C49" t="s">
        <v>4951</v>
      </c>
      <c r="D49" t="s">
        <v>4950</v>
      </c>
      <c r="E49" t="s">
        <v>4951</v>
      </c>
      <c r="F49" t="s">
        <v>4853</v>
      </c>
      <c r="G49" t="s">
        <v>1588</v>
      </c>
    </row>
    <row r="50" spans="1:7" ht="11.25" customHeight="1">
      <c r="A50" t="s">
        <v>0</v>
      </c>
      <c r="B50" t="s">
        <v>4952</v>
      </c>
      <c r="C50" t="s">
        <v>4953</v>
      </c>
      <c r="D50" t="s">
        <v>4952</v>
      </c>
      <c r="E50" t="s">
        <v>4953</v>
      </c>
      <c r="F50" t="s">
        <v>4853</v>
      </c>
      <c r="G50" t="s">
        <v>1592</v>
      </c>
    </row>
    <row r="51" spans="1:7" ht="11.25" customHeight="1">
      <c r="A51" t="s">
        <v>0</v>
      </c>
      <c r="B51" t="s">
        <v>4954</v>
      </c>
      <c r="C51" t="s">
        <v>4955</v>
      </c>
      <c r="D51" t="s">
        <v>4956</v>
      </c>
      <c r="E51" t="s">
        <v>4957</v>
      </c>
      <c r="F51" t="s">
        <v>4866</v>
      </c>
      <c r="G51" t="s">
        <v>1597</v>
      </c>
    </row>
    <row r="52" spans="1:7" ht="11.25" customHeight="1">
      <c r="A52" t="s">
        <v>0</v>
      </c>
      <c r="B52" t="s">
        <v>4954</v>
      </c>
      <c r="C52" t="s">
        <v>4955</v>
      </c>
      <c r="D52" t="s">
        <v>4958</v>
      </c>
      <c r="E52" t="s">
        <v>4959</v>
      </c>
      <c r="F52" t="s">
        <v>4960</v>
      </c>
      <c r="G52" t="s">
        <v>1601</v>
      </c>
    </row>
    <row r="53" spans="1:7" ht="11.25" customHeight="1">
      <c r="A53" t="s">
        <v>0</v>
      </c>
      <c r="B53" t="s">
        <v>4954</v>
      </c>
      <c r="C53" t="s">
        <v>4955</v>
      </c>
      <c r="D53" t="s">
        <v>4954</v>
      </c>
      <c r="E53" t="s">
        <v>4955</v>
      </c>
      <c r="F53" t="s">
        <v>4867</v>
      </c>
      <c r="G53" t="s">
        <v>1603</v>
      </c>
    </row>
    <row r="54" spans="1:7" ht="11.25" customHeight="1">
      <c r="A54" t="s">
        <v>0</v>
      </c>
      <c r="B54" t="s">
        <v>4954</v>
      </c>
      <c r="C54" t="s">
        <v>4955</v>
      </c>
      <c r="D54" t="s">
        <v>4961</v>
      </c>
      <c r="E54" t="s">
        <v>4962</v>
      </c>
      <c r="F54" t="s">
        <v>4866</v>
      </c>
      <c r="G54" t="s">
        <v>1606</v>
      </c>
    </row>
    <row r="55" spans="1:7" ht="11.25" customHeight="1">
      <c r="A55" t="s">
        <v>0</v>
      </c>
      <c r="B55" t="s">
        <v>4954</v>
      </c>
      <c r="C55" t="s">
        <v>4955</v>
      </c>
      <c r="D55" t="s">
        <v>4963</v>
      </c>
      <c r="E55" t="s">
        <v>4964</v>
      </c>
      <c r="F55" t="s">
        <v>4866</v>
      </c>
      <c r="G55" t="s">
        <v>1610</v>
      </c>
    </row>
    <row r="56" spans="1:7" ht="11.25" customHeight="1">
      <c r="A56" t="s">
        <v>0</v>
      </c>
      <c r="B56" t="s">
        <v>4965</v>
      </c>
      <c r="C56" t="s">
        <v>4966</v>
      </c>
      <c r="D56" t="s">
        <v>4965</v>
      </c>
      <c r="E56" t="s">
        <v>4966</v>
      </c>
      <c r="F56" t="s">
        <v>4853</v>
      </c>
      <c r="G56" t="s">
        <v>1613</v>
      </c>
    </row>
    <row r="57" spans="1:7" ht="11.25" customHeight="1">
      <c r="A57" t="s">
        <v>0</v>
      </c>
      <c r="B57" t="s">
        <v>4967</v>
      </c>
      <c r="C57" t="s">
        <v>4968</v>
      </c>
      <c r="D57" t="s">
        <v>4967</v>
      </c>
      <c r="E57" t="s">
        <v>4968</v>
      </c>
      <c r="F57" t="s">
        <v>4853</v>
      </c>
      <c r="G57" t="s">
        <v>1616</v>
      </c>
    </row>
    <row r="58" spans="1:7" ht="11.25" customHeight="1">
      <c r="A58" t="s">
        <v>0</v>
      </c>
      <c r="B58" t="s">
        <v>4969</v>
      </c>
      <c r="C58" t="s">
        <v>4970</v>
      </c>
      <c r="D58" t="s">
        <v>4969</v>
      </c>
      <c r="E58" t="s">
        <v>4970</v>
      </c>
      <c r="F58" t="s">
        <v>4853</v>
      </c>
      <c r="G58" t="s">
        <v>1619</v>
      </c>
    </row>
    <row r="59" spans="1:7" ht="11.25" customHeight="1">
      <c r="A59" t="s">
        <v>0</v>
      </c>
      <c r="B59" t="s">
        <v>4971</v>
      </c>
      <c r="C59" t="s">
        <v>4972</v>
      </c>
      <c r="D59" t="s">
        <v>4971</v>
      </c>
      <c r="E59" t="s">
        <v>4972</v>
      </c>
      <c r="F59" t="s">
        <v>4853</v>
      </c>
      <c r="G59" t="s">
        <v>1623</v>
      </c>
    </row>
    <row r="60" spans="1:7" ht="11.25" customHeight="1">
      <c r="A60" t="s">
        <v>0</v>
      </c>
      <c r="B60" t="s">
        <v>4973</v>
      </c>
      <c r="C60" t="s">
        <v>4974</v>
      </c>
      <c r="D60" t="s">
        <v>4973</v>
      </c>
      <c r="E60" t="s">
        <v>4974</v>
      </c>
      <c r="F60" t="s">
        <v>4853</v>
      </c>
      <c r="G60" t="s">
        <v>1626</v>
      </c>
    </row>
    <row r="61" spans="1:7" ht="11.25" customHeight="1">
      <c r="A61" t="s">
        <v>0</v>
      </c>
      <c r="B61" t="s">
        <v>4975</v>
      </c>
      <c r="C61" t="s">
        <v>4976</v>
      </c>
      <c r="D61" t="s">
        <v>4975</v>
      </c>
      <c r="E61" t="s">
        <v>4976</v>
      </c>
      <c r="F61" t="s">
        <v>4853</v>
      </c>
      <c r="G61" t="s">
        <v>4977</v>
      </c>
    </row>
    <row r="62" spans="1:7" ht="11.25" customHeight="1">
      <c r="A62" t="s">
        <v>0</v>
      </c>
      <c r="B62" t="s">
        <v>4978</v>
      </c>
      <c r="C62" t="s">
        <v>4979</v>
      </c>
      <c r="D62" t="s">
        <v>4978</v>
      </c>
      <c r="E62" t="s">
        <v>4979</v>
      </c>
      <c r="F62" t="s">
        <v>4853</v>
      </c>
      <c r="G62" t="s">
        <v>4980</v>
      </c>
    </row>
    <row r="63" spans="1:7" ht="11.25" customHeight="1">
      <c r="A63" t="s">
        <v>0</v>
      </c>
      <c r="B63" t="s">
        <v>4981</v>
      </c>
      <c r="C63" t="s">
        <v>4982</v>
      </c>
      <c r="D63" t="s">
        <v>4981</v>
      </c>
      <c r="E63" t="s">
        <v>4982</v>
      </c>
      <c r="F63" t="s">
        <v>4853</v>
      </c>
      <c r="G63" t="s">
        <v>4983</v>
      </c>
    </row>
    <row r="64" spans="1:7" ht="11.25" customHeight="1">
      <c r="A64" t="s">
        <v>0</v>
      </c>
      <c r="B64" t="s">
        <v>4984</v>
      </c>
      <c r="C64" t="s">
        <v>4985</v>
      </c>
      <c r="D64" t="s">
        <v>4984</v>
      </c>
      <c r="E64" t="s">
        <v>4985</v>
      </c>
      <c r="F64" t="s">
        <v>4853</v>
      </c>
      <c r="G64" t="s">
        <v>4986</v>
      </c>
    </row>
    <row r="65" spans="1:7" ht="11.25" customHeight="1">
      <c r="A65" t="s">
        <v>0</v>
      </c>
      <c r="B65" t="s">
        <v>4987</v>
      </c>
      <c r="C65" t="s">
        <v>4988</v>
      </c>
      <c r="D65" t="s">
        <v>4987</v>
      </c>
      <c r="E65" t="s">
        <v>4988</v>
      </c>
      <c r="F65" t="s">
        <v>4853</v>
      </c>
      <c r="G65" t="s">
        <v>4989</v>
      </c>
    </row>
    <row r="66" spans="1:7" ht="11.25" customHeight="1">
      <c r="A66" t="s">
        <v>0</v>
      </c>
      <c r="B66" t="s">
        <v>4990</v>
      </c>
      <c r="C66" t="s">
        <v>4991</v>
      </c>
      <c r="D66" t="s">
        <v>4990</v>
      </c>
      <c r="E66" t="s">
        <v>4991</v>
      </c>
      <c r="F66" t="s">
        <v>4853</v>
      </c>
      <c r="G66" t="s">
        <v>4992</v>
      </c>
    </row>
    <row r="67" spans="1:7" ht="11.25" customHeight="1">
      <c r="A67" t="s">
        <v>0</v>
      </c>
      <c r="B67" t="s">
        <v>4993</v>
      </c>
      <c r="C67" t="s">
        <v>4994</v>
      </c>
      <c r="D67" t="s">
        <v>4993</v>
      </c>
      <c r="E67" t="s">
        <v>4994</v>
      </c>
      <c r="F67" t="s">
        <v>4853</v>
      </c>
      <c r="G67" t="s">
        <v>1847</v>
      </c>
    </row>
    <row r="68" spans="1:7" ht="11.25" customHeight="1">
      <c r="A68" t="s">
        <v>0</v>
      </c>
      <c r="B68" t="s">
        <v>4995</v>
      </c>
      <c r="C68" t="s">
        <v>4996</v>
      </c>
      <c r="D68" t="s">
        <v>4995</v>
      </c>
      <c r="E68" t="s">
        <v>4996</v>
      </c>
      <c r="F68" t="s">
        <v>4853</v>
      </c>
      <c r="G68" t="s">
        <v>4997</v>
      </c>
    </row>
    <row r="69" spans="1:7" ht="11.25" customHeight="1">
      <c r="A69" t="s">
        <v>0</v>
      </c>
      <c r="B69" t="s">
        <v>4998</v>
      </c>
      <c r="C69" t="s">
        <v>4999</v>
      </c>
      <c r="D69" t="s">
        <v>4998</v>
      </c>
      <c r="E69" t="s">
        <v>4999</v>
      </c>
      <c r="F69" t="s">
        <v>4853</v>
      </c>
      <c r="G69" t="s">
        <v>2058</v>
      </c>
    </row>
    <row r="70" spans="1:7" ht="11.25" customHeight="1">
      <c r="A70" t="s">
        <v>0</v>
      </c>
      <c r="B70" t="s">
        <v>5000</v>
      </c>
      <c r="C70" t="s">
        <v>5001</v>
      </c>
      <c r="D70" t="s">
        <v>5000</v>
      </c>
      <c r="E70" t="s">
        <v>5001</v>
      </c>
      <c r="F70" t="s">
        <v>4853</v>
      </c>
      <c r="G70" t="s">
        <v>5002</v>
      </c>
    </row>
    <row r="71" spans="1:7" ht="11.25" customHeight="1">
      <c r="A71" t="s">
        <v>0</v>
      </c>
      <c r="B71" t="s">
        <v>5003</v>
      </c>
      <c r="C71" t="s">
        <v>5004</v>
      </c>
      <c r="D71" t="s">
        <v>5003</v>
      </c>
      <c r="E71" t="s">
        <v>5004</v>
      </c>
      <c r="F71" t="s">
        <v>4853</v>
      </c>
      <c r="G71" t="s">
        <v>5005</v>
      </c>
    </row>
    <row r="72" spans="1:7" ht="11.25" customHeight="1">
      <c r="A72" t="s">
        <v>0</v>
      </c>
      <c r="B72" t="s">
        <v>5006</v>
      </c>
      <c r="C72" t="s">
        <v>5007</v>
      </c>
      <c r="D72" t="s">
        <v>5006</v>
      </c>
      <c r="E72" t="s">
        <v>5007</v>
      </c>
      <c r="F72" t="s">
        <v>4853</v>
      </c>
      <c r="G72" t="s">
        <v>5008</v>
      </c>
    </row>
    <row r="73" spans="1:7" ht="11.25" customHeight="1">
      <c r="A73" t="s">
        <v>0</v>
      </c>
      <c r="B73" t="s">
        <v>5009</v>
      </c>
      <c r="C73" t="s">
        <v>5010</v>
      </c>
      <c r="D73" t="s">
        <v>5009</v>
      </c>
      <c r="E73" t="s">
        <v>5010</v>
      </c>
      <c r="F73" t="s">
        <v>4853</v>
      </c>
      <c r="G73" t="s">
        <v>5011</v>
      </c>
    </row>
    <row r="74" spans="1:7" ht="11.25" customHeight="1">
      <c r="A74" t="s">
        <v>0</v>
      </c>
      <c r="B74" t="s">
        <v>5012</v>
      </c>
      <c r="C74" t="s">
        <v>5013</v>
      </c>
      <c r="D74" t="s">
        <v>5012</v>
      </c>
      <c r="E74" t="s">
        <v>5013</v>
      </c>
      <c r="F74" t="s">
        <v>4853</v>
      </c>
      <c r="G74" t="s">
        <v>5014</v>
      </c>
    </row>
    <row r="75" spans="1:7" ht="11.25" customHeight="1">
      <c r="A75" t="s">
        <v>0</v>
      </c>
      <c r="B75" t="s">
        <v>5015</v>
      </c>
      <c r="C75" t="s">
        <v>5016</v>
      </c>
      <c r="D75" t="s">
        <v>5015</v>
      </c>
      <c r="E75" t="s">
        <v>5016</v>
      </c>
      <c r="F75" t="s">
        <v>4853</v>
      </c>
      <c r="G75" t="s">
        <v>5017</v>
      </c>
    </row>
    <row r="76" spans="1:7" ht="11.25" customHeight="1">
      <c r="A76" t="s">
        <v>0</v>
      </c>
      <c r="B76" t="s">
        <v>5018</v>
      </c>
      <c r="C76" t="s">
        <v>5019</v>
      </c>
      <c r="D76" t="s">
        <v>5018</v>
      </c>
      <c r="E76" t="s">
        <v>5019</v>
      </c>
      <c r="F76" t="s">
        <v>4853</v>
      </c>
      <c r="G76" t="s">
        <v>5020</v>
      </c>
    </row>
    <row r="77" spans="1:7" ht="11.25" customHeight="1">
      <c r="A77" t="s">
        <v>0</v>
      </c>
      <c r="B77" t="s">
        <v>5021</v>
      </c>
      <c r="C77" t="s">
        <v>5022</v>
      </c>
      <c r="D77" t="s">
        <v>5021</v>
      </c>
      <c r="E77" t="s">
        <v>5022</v>
      </c>
      <c r="F77" t="s">
        <v>4853</v>
      </c>
      <c r="G77" t="s">
        <v>5023</v>
      </c>
    </row>
    <row r="78" spans="1:7" ht="11.25" customHeight="1">
      <c r="A78" t="s">
        <v>0</v>
      </c>
      <c r="B78" t="s">
        <v>5024</v>
      </c>
      <c r="C78" t="s">
        <v>5025</v>
      </c>
      <c r="D78" t="s">
        <v>5024</v>
      </c>
      <c r="E78" t="s">
        <v>5025</v>
      </c>
      <c r="F78" t="s">
        <v>4853</v>
      </c>
      <c r="G78" t="s">
        <v>5026</v>
      </c>
    </row>
    <row r="79" spans="1:7" ht="11.25" customHeight="1">
      <c r="A79" t="s">
        <v>0</v>
      </c>
      <c r="B79" t="s">
        <v>5027</v>
      </c>
      <c r="C79" t="s">
        <v>5028</v>
      </c>
      <c r="D79" t="s">
        <v>5027</v>
      </c>
      <c r="E79" t="s">
        <v>5028</v>
      </c>
      <c r="F79" t="s">
        <v>4853</v>
      </c>
      <c r="G79" t="s">
        <v>5029</v>
      </c>
    </row>
    <row r="80" spans="1:7" ht="11.25" customHeight="1">
      <c r="A80" t="s">
        <v>0</v>
      </c>
      <c r="B80" t="s">
        <v>5030</v>
      </c>
      <c r="C80" t="s">
        <v>5031</v>
      </c>
      <c r="D80" t="s">
        <v>5030</v>
      </c>
      <c r="E80" t="s">
        <v>5031</v>
      </c>
      <c r="F80" t="s">
        <v>4853</v>
      </c>
      <c r="G80" t="s">
        <v>5032</v>
      </c>
    </row>
    <row r="81" spans="1:7" ht="11.25" customHeight="1">
      <c r="A81" t="s">
        <v>0</v>
      </c>
      <c r="B81" t="s">
        <v>5033</v>
      </c>
      <c r="C81" t="s">
        <v>5034</v>
      </c>
      <c r="D81" t="s">
        <v>5033</v>
      </c>
      <c r="E81" t="s">
        <v>5034</v>
      </c>
      <c r="F81" t="s">
        <v>4853</v>
      </c>
      <c r="G81" t="s">
        <v>5035</v>
      </c>
    </row>
    <row r="82" spans="1:7" ht="11.25" customHeight="1">
      <c r="A82" t="s">
        <v>0</v>
      </c>
      <c r="B82" t="s">
        <v>5036</v>
      </c>
      <c r="C82" t="s">
        <v>5037</v>
      </c>
      <c r="D82" t="s">
        <v>5036</v>
      </c>
      <c r="E82" t="s">
        <v>5037</v>
      </c>
      <c r="F82" t="s">
        <v>4853</v>
      </c>
      <c r="G82" t="s">
        <v>5038</v>
      </c>
    </row>
    <row r="83" spans="1:7" ht="11.25" customHeight="1">
      <c r="A83" t="s">
        <v>0</v>
      </c>
      <c r="B83" t="s">
        <v>5039</v>
      </c>
      <c r="C83" t="s">
        <v>5040</v>
      </c>
      <c r="D83" t="s">
        <v>5039</v>
      </c>
      <c r="E83" t="s">
        <v>5040</v>
      </c>
      <c r="F83" t="s">
        <v>4853</v>
      </c>
      <c r="G83" t="s">
        <v>5041</v>
      </c>
    </row>
    <row r="84" spans="1:7" ht="11.25" customHeight="1">
      <c r="A84" t="s">
        <v>0</v>
      </c>
      <c r="B84" t="s">
        <v>5042</v>
      </c>
      <c r="C84" t="s">
        <v>5043</v>
      </c>
      <c r="D84" t="s">
        <v>5042</v>
      </c>
      <c r="E84" t="s">
        <v>5043</v>
      </c>
      <c r="F84" t="s">
        <v>4853</v>
      </c>
      <c r="G84" t="s">
        <v>5044</v>
      </c>
    </row>
    <row r="85" spans="1:7" ht="11.25" customHeight="1">
      <c r="A85" t="s">
        <v>0</v>
      </c>
      <c r="B85" t="s">
        <v>5045</v>
      </c>
      <c r="C85" t="s">
        <v>5046</v>
      </c>
      <c r="D85" t="s">
        <v>5045</v>
      </c>
      <c r="E85" t="s">
        <v>5046</v>
      </c>
      <c r="F85" t="s">
        <v>4853</v>
      </c>
      <c r="G85" t="s">
        <v>5047</v>
      </c>
    </row>
    <row r="86" spans="1:7" ht="11.25" customHeight="1">
      <c r="A86" t="s">
        <v>0</v>
      </c>
      <c r="B86" t="s">
        <v>5048</v>
      </c>
      <c r="C86" t="s">
        <v>5049</v>
      </c>
      <c r="D86" t="s">
        <v>5048</v>
      </c>
      <c r="E86" t="s">
        <v>5049</v>
      </c>
      <c r="F86" t="s">
        <v>4853</v>
      </c>
      <c r="G86" t="s">
        <v>5050</v>
      </c>
    </row>
    <row r="87" spans="1:7" ht="11.25" customHeight="1">
      <c r="A87" t="s">
        <v>0</v>
      </c>
      <c r="B87" t="s">
        <v>5051</v>
      </c>
      <c r="C87" t="s">
        <v>5052</v>
      </c>
      <c r="D87" t="s">
        <v>5053</v>
      </c>
      <c r="E87" t="s">
        <v>5054</v>
      </c>
      <c r="F87" t="s">
        <v>4866</v>
      </c>
      <c r="G87" t="s">
        <v>5055</v>
      </c>
    </row>
    <row r="88" spans="1:7" ht="11.25" customHeight="1">
      <c r="A88" t="s">
        <v>0</v>
      </c>
      <c r="B88" t="s">
        <v>5051</v>
      </c>
      <c r="C88" t="s">
        <v>5052</v>
      </c>
      <c r="D88" t="s">
        <v>5056</v>
      </c>
      <c r="E88" t="s">
        <v>5057</v>
      </c>
      <c r="F88" t="s">
        <v>4866</v>
      </c>
      <c r="G88" t="s">
        <v>5058</v>
      </c>
    </row>
    <row r="89" spans="1:7" ht="11.25" customHeight="1">
      <c r="A89" t="s">
        <v>0</v>
      </c>
      <c r="B89" t="s">
        <v>5051</v>
      </c>
      <c r="C89" t="s">
        <v>5052</v>
      </c>
      <c r="D89" t="s">
        <v>5059</v>
      </c>
      <c r="E89" t="s">
        <v>5060</v>
      </c>
      <c r="F89" t="s">
        <v>4866</v>
      </c>
      <c r="G89" t="s">
        <v>5061</v>
      </c>
    </row>
    <row r="90" spans="1:7" ht="11.25" customHeight="1">
      <c r="A90" t="s">
        <v>0</v>
      </c>
      <c r="B90" t="s">
        <v>5051</v>
      </c>
      <c r="C90" t="s">
        <v>5052</v>
      </c>
      <c r="D90" t="s">
        <v>5062</v>
      </c>
      <c r="E90" t="s">
        <v>5063</v>
      </c>
      <c r="F90" t="s">
        <v>4866</v>
      </c>
      <c r="G90" t="s">
        <v>5064</v>
      </c>
    </row>
    <row r="91" spans="1:7" ht="11.25" customHeight="1">
      <c r="A91" t="s">
        <v>0</v>
      </c>
      <c r="B91" t="s">
        <v>5051</v>
      </c>
      <c r="C91" t="s">
        <v>5052</v>
      </c>
      <c r="D91" t="s">
        <v>5065</v>
      </c>
      <c r="E91" t="s">
        <v>5066</v>
      </c>
      <c r="F91" t="s">
        <v>4866</v>
      </c>
      <c r="G91" t="s">
        <v>5067</v>
      </c>
    </row>
    <row r="92" spans="1:7" ht="11.25" customHeight="1">
      <c r="A92" t="s">
        <v>0</v>
      </c>
      <c r="B92" t="s">
        <v>5051</v>
      </c>
      <c r="C92" t="s">
        <v>5052</v>
      </c>
      <c r="D92" t="s">
        <v>5051</v>
      </c>
      <c r="E92" t="s">
        <v>5052</v>
      </c>
      <c r="F92" t="s">
        <v>4867</v>
      </c>
      <c r="G92" t="s">
        <v>5068</v>
      </c>
    </row>
    <row r="93" spans="1:7" ht="11.25" customHeight="1">
      <c r="A93" t="s">
        <v>0</v>
      </c>
      <c r="B93" t="s">
        <v>5069</v>
      </c>
      <c r="C93" t="s">
        <v>5070</v>
      </c>
      <c r="D93" t="s">
        <v>5069</v>
      </c>
      <c r="E93" t="s">
        <v>5070</v>
      </c>
      <c r="F93" t="s">
        <v>4853</v>
      </c>
      <c r="G93" t="s">
        <v>5071</v>
      </c>
    </row>
    <row r="94" spans="1:7" ht="11.25" customHeight="1">
      <c r="A94" t="s">
        <v>0</v>
      </c>
      <c r="B94" t="s">
        <v>5072</v>
      </c>
      <c r="C94" t="s">
        <v>5073</v>
      </c>
      <c r="D94" t="s">
        <v>5072</v>
      </c>
      <c r="E94" t="s">
        <v>5073</v>
      </c>
      <c r="F94" t="s">
        <v>4853</v>
      </c>
      <c r="G94" t="s">
        <v>5074</v>
      </c>
    </row>
    <row r="95" spans="1:7" ht="11.25" customHeight="1">
      <c r="A95" t="s">
        <v>0</v>
      </c>
      <c r="B95" t="s">
        <v>34</v>
      </c>
      <c r="C95" t="s">
        <v>35</v>
      </c>
      <c r="D95" t="s">
        <v>34</v>
      </c>
      <c r="E95" t="s">
        <v>35</v>
      </c>
      <c r="F95" t="s">
        <v>4853</v>
      </c>
      <c r="G95" t="s">
        <v>33</v>
      </c>
    </row>
    <row r="96" spans="1:7" ht="11.25" customHeight="1">
      <c r="A96" t="s">
        <v>0</v>
      </c>
      <c r="B96" t="s">
        <v>5075</v>
      </c>
      <c r="C96" t="s">
        <v>5076</v>
      </c>
      <c r="D96" t="s">
        <v>5075</v>
      </c>
      <c r="E96" t="s">
        <v>5076</v>
      </c>
      <c r="F96" t="s">
        <v>4853</v>
      </c>
      <c r="G96" t="s">
        <v>5077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854"/>
    <col min="2" max="2" width="84.28515625" style="1854" customWidth="1"/>
    <col min="3" max="3" width="9.140625" style="1854"/>
  </cols>
  <sheetData>
    <row r="1" spans="1:3" ht="11.25" customHeight="1">
      <c r="A1" s="638" t="s">
        <v>5258</v>
      </c>
      <c r="B1" s="638" t="s">
        <v>5259</v>
      </c>
      <c r="C1" s="638" t="s">
        <v>1090</v>
      </c>
    </row>
    <row r="2" spans="1:3" ht="11.25" customHeight="1">
      <c r="A2" s="638">
        <v>4189678</v>
      </c>
      <c r="B2" s="638" t="s">
        <v>5260</v>
      </c>
      <c r="C2" s="638" t="s">
        <v>5261</v>
      </c>
    </row>
    <row r="3" spans="1:3" ht="11.25" customHeight="1">
      <c r="A3" s="638">
        <v>4190415</v>
      </c>
      <c r="B3" s="638" t="s">
        <v>5262</v>
      </c>
      <c r="C3" s="638" t="s">
        <v>5261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1857" customWidth="1"/>
    <col min="2" max="5" width="9.140625" style="1857"/>
  </cols>
  <sheetData>
    <row r="1" spans="1:5" ht="15" customHeight="1">
      <c r="A1" s="64" t="s">
        <v>5263</v>
      </c>
      <c r="B1" s="64" t="s">
        <v>5264</v>
      </c>
      <c r="C1" s="64"/>
      <c r="D1" s="64"/>
      <c r="E1" s="64"/>
    </row>
    <row r="2" spans="1:5" ht="15" customHeight="1">
      <c r="A2" s="64"/>
      <c r="B2" s="64"/>
      <c r="C2" s="64"/>
      <c r="D2" s="64"/>
      <c r="E2" s="64"/>
    </row>
    <row r="3" spans="1:5" ht="15" customHeight="1">
      <c r="A3" s="64"/>
      <c r="B3" s="64"/>
      <c r="C3" s="64"/>
      <c r="D3" s="64"/>
      <c r="E3" s="64"/>
    </row>
    <row r="4" spans="1:5" ht="15" customHeight="1">
      <c r="A4" s="64"/>
      <c r="B4" s="64"/>
      <c r="C4" s="64"/>
      <c r="D4" s="64"/>
      <c r="E4" s="64"/>
    </row>
    <row r="5" spans="1:5" ht="15" customHeight="1">
      <c r="A5" s="64"/>
      <c r="B5" s="64"/>
      <c r="C5" s="64"/>
      <c r="D5" s="64"/>
      <c r="E5" s="64"/>
    </row>
    <row r="6" spans="1:5" ht="15" customHeight="1">
      <c r="A6" s="64"/>
      <c r="B6" s="64"/>
      <c r="C6" s="64"/>
      <c r="D6" s="64"/>
      <c r="E6" s="64"/>
    </row>
    <row r="7" spans="1:5" ht="15" customHeight="1">
      <c r="A7" s="64"/>
      <c r="B7" s="64"/>
      <c r="C7" s="64"/>
      <c r="D7" s="64"/>
      <c r="E7" s="64"/>
    </row>
    <row r="8" spans="1:5" ht="15" customHeight="1">
      <c r="A8" s="64"/>
      <c r="B8" s="64"/>
      <c r="C8" s="64"/>
      <c r="D8" s="64"/>
      <c r="E8" s="6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5265</v>
      </c>
      <c r="B1" t="b">
        <v>1</v>
      </c>
    </row>
    <row r="2" spans="1:2" ht="11.25" customHeight="1">
      <c r="A2" t="s">
        <v>5266</v>
      </c>
      <c r="B2" t="b">
        <v>0</v>
      </c>
    </row>
    <row r="3" spans="1:2" ht="11.25" customHeight="1">
      <c r="A3" t="s">
        <v>5267</v>
      </c>
      <c r="B3" t="b">
        <v>1</v>
      </c>
    </row>
    <row r="4" spans="1:2" ht="11.25" customHeight="1">
      <c r="A4" t="s">
        <v>5268</v>
      </c>
      <c r="B4" t="b">
        <v>0</v>
      </c>
    </row>
    <row r="5" spans="1:2" ht="11.25" customHeight="1">
      <c r="A5" t="s">
        <v>5269</v>
      </c>
      <c r="B5" t="b">
        <v>0</v>
      </c>
    </row>
    <row r="6" spans="1:2" ht="11.25" customHeight="1">
      <c r="A6" t="s">
        <v>5270</v>
      </c>
      <c r="B6" t="b">
        <v>0</v>
      </c>
    </row>
    <row r="7" spans="1:2" ht="11.25" customHeight="1">
      <c r="A7" t="s">
        <v>5271</v>
      </c>
      <c r="B7" t="b">
        <v>0</v>
      </c>
    </row>
    <row r="8" spans="1:2" ht="11.25" customHeight="1">
      <c r="A8" t="s">
        <v>5272</v>
      </c>
      <c r="B8" t="b">
        <v>0</v>
      </c>
    </row>
    <row r="9" spans="1:2" ht="11.25" customHeight="1">
      <c r="A9" t="s">
        <v>5273</v>
      </c>
      <c r="B9" t="b">
        <v>0</v>
      </c>
    </row>
    <row r="10" spans="1:2" ht="11.25" customHeight="1">
      <c r="A10" t="s">
        <v>5274</v>
      </c>
      <c r="B10" t="b">
        <v>0</v>
      </c>
    </row>
    <row r="11" spans="1:2" ht="11.25" customHeight="1">
      <c r="A11" t="s">
        <v>5275</v>
      </c>
      <c r="B11" t="b">
        <v>1</v>
      </c>
    </row>
    <row r="12" spans="1:2" ht="11.25" customHeight="1">
      <c r="A12" t="s">
        <v>5276</v>
      </c>
      <c r="B12" t="b">
        <v>0</v>
      </c>
    </row>
    <row r="13" spans="1:2" ht="11.25" customHeight="1">
      <c r="A13" t="s">
        <v>5277</v>
      </c>
      <c r="B13" t="b">
        <v>0</v>
      </c>
    </row>
    <row r="14" spans="1:2" ht="11.25" customHeight="1">
      <c r="A14" t="s">
        <v>5278</v>
      </c>
      <c r="B14" t="b">
        <v>0</v>
      </c>
    </row>
    <row r="15" spans="1:2" ht="11.25" customHeight="1">
      <c r="A15" t="s">
        <v>5279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858"/>
  </cols>
  <sheetData>
    <row r="1" spans="1:1" ht="12.75" customHeight="1">
      <c r="A1" s="16"/>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851" customWidth="1"/>
    <col min="2" max="2" width="21.140625" style="1851" customWidth="1"/>
  </cols>
  <sheetData>
    <row r="1" spans="1:2" ht="11.25" customHeight="1">
      <c r="A1" s="4" t="s">
        <v>5280</v>
      </c>
      <c r="B1" s="4" t="s">
        <v>5281</v>
      </c>
    </row>
    <row r="2" spans="1:2" ht="11.25" customHeight="1">
      <c r="A2" s="1" t="s">
        <v>5282</v>
      </c>
      <c r="B2" s="1" t="s">
        <v>5283</v>
      </c>
    </row>
    <row r="3" spans="1:2" ht="11.25" customHeight="1">
      <c r="A3" s="1" t="s">
        <v>5284</v>
      </c>
      <c r="B3" s="1" t="s">
        <v>5285</v>
      </c>
    </row>
    <row r="4" spans="1:2" ht="11.25" customHeight="1">
      <c r="A4" s="1" t="s">
        <v>5286</v>
      </c>
      <c r="B4" s="1" t="s">
        <v>5287</v>
      </c>
    </row>
    <row r="5" spans="1:2" ht="11.25" customHeight="1">
      <c r="A5" s="1" t="s">
        <v>5288</v>
      </c>
      <c r="B5" s="1" t="s">
        <v>5289</v>
      </c>
    </row>
    <row r="6" spans="1:2" ht="11.25" customHeight="1">
      <c r="A6" s="1" t="s">
        <v>5290</v>
      </c>
      <c r="B6" s="1" t="s">
        <v>5291</v>
      </c>
    </row>
    <row r="7" spans="1:2" ht="11.25" customHeight="1">
      <c r="A7" s="1" t="s">
        <v>5292</v>
      </c>
      <c r="B7" s="1" t="s">
        <v>5293</v>
      </c>
    </row>
    <row r="8" spans="1:2" ht="11.25" customHeight="1">
      <c r="A8" s="1" t="s">
        <v>5294</v>
      </c>
      <c r="B8" s="1" t="s">
        <v>5295</v>
      </c>
    </row>
    <row r="9" spans="1:2" ht="11.25" customHeight="1">
      <c r="A9" s="1" t="s">
        <v>5296</v>
      </c>
      <c r="B9" s="1" t="s">
        <v>5297</v>
      </c>
    </row>
    <row r="10" spans="1:2" ht="11.25" customHeight="1">
      <c r="A10" s="1" t="s">
        <v>5298</v>
      </c>
      <c r="B10" s="1" t="s">
        <v>5299</v>
      </c>
    </row>
    <row r="11" spans="1:2" ht="11.25" customHeight="1">
      <c r="A11" s="1" t="s">
        <v>5300</v>
      </c>
      <c r="B11" s="1" t="s">
        <v>5301</v>
      </c>
    </row>
    <row r="12" spans="1:2" ht="11.25" customHeight="1">
      <c r="A12" s="1" t="s">
        <v>5302</v>
      </c>
      <c r="B12" s="1" t="s">
        <v>5303</v>
      </c>
    </row>
    <row r="13" spans="1:2" ht="11.25" customHeight="1">
      <c r="A13" s="1" t="s">
        <v>5304</v>
      </c>
      <c r="B13" s="1" t="s">
        <v>5305</v>
      </c>
    </row>
    <row r="14" spans="1:2" ht="11.25" customHeight="1">
      <c r="A14" s="1" t="s">
        <v>5306</v>
      </c>
      <c r="B14" s="1" t="s">
        <v>5307</v>
      </c>
    </row>
    <row r="15" spans="1:2" ht="11.25" customHeight="1">
      <c r="A15" s="1" t="s">
        <v>5308</v>
      </c>
      <c r="B15" s="1" t="s">
        <v>5309</v>
      </c>
    </row>
    <row r="16" spans="1:2" ht="11.25" customHeight="1">
      <c r="A16" s="1" t="s">
        <v>5310</v>
      </c>
      <c r="B16" s="1" t="s">
        <v>5311</v>
      </c>
    </row>
    <row r="17" spans="1:2" ht="11.25" customHeight="1">
      <c r="A17" s="1" t="s">
        <v>5312</v>
      </c>
      <c r="B17" s="1" t="s">
        <v>5313</v>
      </c>
    </row>
    <row r="18" spans="1:2" ht="11.25" customHeight="1">
      <c r="A18" s="1" t="s">
        <v>5314</v>
      </c>
      <c r="B18" s="1" t="s">
        <v>5315</v>
      </c>
    </row>
    <row r="19" spans="1:2" ht="11.25" customHeight="1">
      <c r="A19" s="1" t="s">
        <v>5316</v>
      </c>
      <c r="B19" s="1" t="s">
        <v>5317</v>
      </c>
    </row>
    <row r="20" spans="1:2" ht="11.25" customHeight="1">
      <c r="A20" s="1" t="s">
        <v>5318</v>
      </c>
      <c r="B20" s="1" t="s">
        <v>5319</v>
      </c>
    </row>
    <row r="21" spans="1:2" ht="11.25" customHeight="1">
      <c r="A21" s="1" t="s">
        <v>5320</v>
      </c>
      <c r="B21" s="1" t="s">
        <v>5321</v>
      </c>
    </row>
    <row r="22" spans="1:2" ht="11.25" customHeight="1">
      <c r="A22" s="1" t="s">
        <v>5322</v>
      </c>
      <c r="B22" s="1" t="s">
        <v>5323</v>
      </c>
    </row>
    <row r="23" spans="1:2" ht="11.25" customHeight="1">
      <c r="A23" s="1" t="s">
        <v>5324</v>
      </c>
      <c r="B23" s="1" t="s">
        <v>5325</v>
      </c>
    </row>
    <row r="24" spans="1:2" ht="11.25" customHeight="1">
      <c r="A24" s="1" t="s">
        <v>5326</v>
      </c>
      <c r="B24" s="1" t="s">
        <v>5327</v>
      </c>
    </row>
    <row r="25" spans="1:2" ht="11.25" customHeight="1">
      <c r="A25" s="1" t="s">
        <v>5328</v>
      </c>
      <c r="B25" s="1" t="s">
        <v>5329</v>
      </c>
    </row>
    <row r="26" spans="1:2" ht="11.25" customHeight="1">
      <c r="A26" s="1" t="s">
        <v>5330</v>
      </c>
      <c r="B26" s="1" t="s">
        <v>5331</v>
      </c>
    </row>
    <row r="27" spans="1:2" ht="11.25" customHeight="1">
      <c r="A27" s="1" t="s">
        <v>5332</v>
      </c>
      <c r="B27" s="1" t="s">
        <v>5333</v>
      </c>
    </row>
    <row r="28" spans="1:2" ht="11.25" customHeight="1">
      <c r="A28" s="1" t="s">
        <v>5334</v>
      </c>
      <c r="B28" s="1" t="s">
        <v>5335</v>
      </c>
    </row>
    <row r="29" spans="1:2" ht="11.25" customHeight="1">
      <c r="A29" s="1" t="s">
        <v>5336</v>
      </c>
      <c r="B29" s="1" t="s">
        <v>5337</v>
      </c>
    </row>
    <row r="30" spans="1:2" ht="11.25" customHeight="1">
      <c r="A30" s="1" t="s">
        <v>5338</v>
      </c>
      <c r="B30" s="1" t="s">
        <v>5339</v>
      </c>
    </row>
    <row r="31" spans="1:2" ht="11.25" customHeight="1">
      <c r="A31" s="1" t="s">
        <v>5340</v>
      </c>
      <c r="B31" s="1" t="s">
        <v>5341</v>
      </c>
    </row>
    <row r="32" spans="1:2" ht="11.25" customHeight="1">
      <c r="A32" s="1" t="s">
        <v>5342</v>
      </c>
      <c r="B32" s="1" t="s">
        <v>5343</v>
      </c>
    </row>
    <row r="33" spans="1:2" ht="11.25" customHeight="1">
      <c r="A33" s="1" t="s">
        <v>5344</v>
      </c>
      <c r="B33" s="1" t="s">
        <v>5345</v>
      </c>
    </row>
    <row r="34" spans="1:2" ht="11.25" customHeight="1">
      <c r="A34" s="1" t="s">
        <v>5346</v>
      </c>
      <c r="B34" s="1" t="s">
        <v>5347</v>
      </c>
    </row>
    <row r="35" spans="1:2" ht="11.25" customHeight="1">
      <c r="A35" s="1" t="s">
        <v>5348</v>
      </c>
      <c r="B35" s="1" t="s">
        <v>5349</v>
      </c>
    </row>
    <row r="36" spans="1:2" ht="11.25" customHeight="1">
      <c r="A36" s="1" t="s">
        <v>5350</v>
      </c>
      <c r="B36" s="1" t="s">
        <v>5351</v>
      </c>
    </row>
    <row r="37" spans="1:2" ht="11.25" customHeight="1">
      <c r="A37" s="1" t="s">
        <v>5352</v>
      </c>
      <c r="B37" s="1" t="s">
        <v>5353</v>
      </c>
    </row>
    <row r="38" spans="1:2" ht="11.25" customHeight="1">
      <c r="A38" s="1" t="s">
        <v>5354</v>
      </c>
      <c r="B38" s="1" t="s">
        <v>5355</v>
      </c>
    </row>
    <row r="39" spans="1:2" ht="11.25" customHeight="1">
      <c r="A39" s="1" t="s">
        <v>5356</v>
      </c>
      <c r="B39" s="1" t="s">
        <v>5357</v>
      </c>
    </row>
    <row r="40" spans="1:2" ht="11.25" customHeight="1">
      <c r="A40" s="1" t="s">
        <v>5358</v>
      </c>
      <c r="B40" s="1" t="s">
        <v>5359</v>
      </c>
    </row>
    <row r="41" spans="1:2" ht="11.25" customHeight="1">
      <c r="A41" s="1" t="s">
        <v>5360</v>
      </c>
      <c r="B41" s="1" t="s">
        <v>5361</v>
      </c>
    </row>
    <row r="42" spans="1:2" ht="11.25" customHeight="1">
      <c r="A42" s="1" t="s">
        <v>5362</v>
      </c>
      <c r="B42" s="1" t="s">
        <v>5363</v>
      </c>
    </row>
    <row r="43" spans="1:2" ht="11.25" customHeight="1">
      <c r="A43" s="1" t="s">
        <v>5364</v>
      </c>
      <c r="B43" s="1" t="s">
        <v>5365</v>
      </c>
    </row>
    <row r="44" spans="1:2" ht="11.25" customHeight="1">
      <c r="A44" s="1" t="s">
        <v>5366</v>
      </c>
      <c r="B44" s="1" t="s">
        <v>5367</v>
      </c>
    </row>
    <row r="45" spans="1:2" ht="11.25" customHeight="1">
      <c r="A45" s="1" t="s">
        <v>5368</v>
      </c>
      <c r="B45" s="1" t="s">
        <v>5369</v>
      </c>
    </row>
    <row r="46" spans="1:2" ht="11.25" customHeight="1">
      <c r="A46" s="1" t="s">
        <v>5370</v>
      </c>
      <c r="B46" s="1" t="s">
        <v>5371</v>
      </c>
    </row>
    <row r="47" spans="1:2" ht="11.25" customHeight="1">
      <c r="A47" s="1" t="s">
        <v>5372</v>
      </c>
      <c r="B47" s="1" t="s">
        <v>5373</v>
      </c>
    </row>
    <row r="48" spans="1:2" ht="11.25" customHeight="1">
      <c r="A48" s="1" t="s">
        <v>5374</v>
      </c>
      <c r="B48" s="1" t="s">
        <v>5375</v>
      </c>
    </row>
    <row r="49" spans="1:2" ht="11.25" customHeight="1">
      <c r="A49" s="1" t="s">
        <v>5376</v>
      </c>
      <c r="B49" s="1" t="s">
        <v>5377</v>
      </c>
    </row>
    <row r="50" spans="1:2" ht="11.25" customHeight="1">
      <c r="A50" s="1" t="s">
        <v>5378</v>
      </c>
      <c r="B50" s="1" t="s">
        <v>5379</v>
      </c>
    </row>
    <row r="51" spans="1:2" ht="11.25" customHeight="1">
      <c r="A51" s="1" t="s">
        <v>5380</v>
      </c>
      <c r="B51" s="1" t="s">
        <v>5381</v>
      </c>
    </row>
    <row r="52" spans="1:2" ht="11.25" customHeight="1">
      <c r="A52" s="1" t="s">
        <v>5382</v>
      </c>
      <c r="B52" s="1" t="s">
        <v>5383</v>
      </c>
    </row>
    <row r="53" spans="1:2" ht="11.25" customHeight="1">
      <c r="A53" s="1" t="s">
        <v>5384</v>
      </c>
      <c r="B53" s="1" t="s">
        <v>5385</v>
      </c>
    </row>
    <row r="54" spans="1:2" ht="11.25" customHeight="1">
      <c r="A54" s="1" t="s">
        <v>5386</v>
      </c>
      <c r="B54" s="1" t="s">
        <v>5387</v>
      </c>
    </row>
    <row r="55" spans="1:2" ht="11.25" customHeight="1">
      <c r="A55" s="1" t="s">
        <v>5388</v>
      </c>
      <c r="B55" s="1" t="s">
        <v>5389</v>
      </c>
    </row>
    <row r="56" spans="1:2" ht="11.25" customHeight="1">
      <c r="A56" s="1" t="s">
        <v>5390</v>
      </c>
      <c r="B56" s="1" t="s">
        <v>5391</v>
      </c>
    </row>
    <row r="57" spans="1:2" ht="11.25" customHeight="1">
      <c r="A57" s="1" t="s">
        <v>5392</v>
      </c>
      <c r="B57" s="1" t="s">
        <v>5393</v>
      </c>
    </row>
    <row r="58" spans="1:2" ht="11.25" customHeight="1">
      <c r="A58" s="1" t="s">
        <v>5394</v>
      </c>
      <c r="B58" s="1" t="s">
        <v>5395</v>
      </c>
    </row>
    <row r="59" spans="1:2" ht="11.25" customHeight="1">
      <c r="A59" s="1" t="s">
        <v>5396</v>
      </c>
      <c r="B59" s="1" t="s">
        <v>5397</v>
      </c>
    </row>
    <row r="60" spans="1:2" ht="11.25" customHeight="1">
      <c r="A60" s="1" t="s">
        <v>5398</v>
      </c>
      <c r="B60" s="1" t="s">
        <v>5399</v>
      </c>
    </row>
    <row r="61" spans="1:2" ht="11.25" customHeight="1">
      <c r="A61" s="1"/>
      <c r="B61" s="1" t="s">
        <v>5400</v>
      </c>
    </row>
    <row r="62" spans="1:2" ht="11.25" customHeight="1">
      <c r="A62" s="1"/>
      <c r="B62" s="1" t="s">
        <v>5401</v>
      </c>
    </row>
    <row r="63" spans="1:2" ht="11.25" customHeight="1">
      <c r="A63" s="1"/>
      <c r="B63" s="1" t="s">
        <v>5402</v>
      </c>
    </row>
    <row r="64" spans="1:2" ht="11.25" customHeight="1">
      <c r="A64" s="1"/>
      <c r="B64" s="1" t="s">
        <v>5403</v>
      </c>
    </row>
    <row r="65" spans="1:2" ht="11.25" customHeight="1">
      <c r="A65" s="1"/>
      <c r="B65" s="1" t="s">
        <v>5404</v>
      </c>
    </row>
    <row r="66" spans="1:2" ht="11.25" customHeight="1">
      <c r="A66" s="1"/>
      <c r="B66" s="1" t="s">
        <v>5405</v>
      </c>
    </row>
    <row r="67" spans="1:2" ht="11.25" customHeight="1">
      <c r="A67" s="1"/>
      <c r="B67" s="1" t="s">
        <v>5406</v>
      </c>
    </row>
    <row r="68" spans="1:2" ht="11.25" customHeight="1">
      <c r="A68" s="1"/>
      <c r="B68" s="1" t="s">
        <v>5407</v>
      </c>
    </row>
    <row r="69" spans="1:2" ht="11.25" customHeight="1">
      <c r="A69" s="1"/>
      <c r="B69" s="1" t="s">
        <v>5408</v>
      </c>
    </row>
    <row r="70" spans="1:2" ht="11.25" customHeight="1">
      <c r="A70" s="1"/>
      <c r="B70" s="1" t="s">
        <v>5409</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619" customWidth="1"/>
    <col min="2" max="2" width="90.7109375" style="1619" customWidth="1"/>
    <col min="3" max="4" width="9.140625" style="1619"/>
  </cols>
  <sheetData>
    <row r="1" spans="2:4" ht="11.25" customHeight="1">
      <c r="B1" s="14" t="s">
        <v>5410</v>
      </c>
    </row>
    <row r="2" spans="2:4" ht="90" customHeight="1">
      <c r="B2" s="15" t="s">
        <v>5411</v>
      </c>
    </row>
    <row r="3" spans="2:4" ht="67.5" customHeight="1">
      <c r="B3" s="15" t="s">
        <v>5412</v>
      </c>
    </row>
    <row r="4" spans="2:4" ht="33.75" customHeight="1">
      <c r="B4" s="15" t="s">
        <v>5413</v>
      </c>
    </row>
    <row r="5" spans="2:4" ht="11.25" customHeight="1">
      <c r="B5" s="15" t="s">
        <v>5414</v>
      </c>
    </row>
    <row r="6" spans="2:4" ht="22.5" customHeight="1">
      <c r="B6" s="15" t="s">
        <v>5415</v>
      </c>
    </row>
    <row r="7" spans="2:4" ht="22.5" customHeight="1">
      <c r="B7" s="15" t="s">
        <v>5416</v>
      </c>
    </row>
    <row r="8" spans="2:4" ht="22.5" customHeight="1">
      <c r="B8" s="15" t="s">
        <v>5417</v>
      </c>
    </row>
    <row r="9" spans="2:4" ht="22.5" customHeight="1">
      <c r="B9" s="15" t="s">
        <v>5418</v>
      </c>
    </row>
    <row r="10" spans="2:4" ht="56.25" customHeight="1">
      <c r="B10" s="15" t="s">
        <v>5419</v>
      </c>
    </row>
    <row r="11" spans="2:4" ht="12.75" customHeight="1">
      <c r="B11" s="61" t="s">
        <v>5420</v>
      </c>
    </row>
    <row r="12" spans="2:4" ht="11.25" customHeight="1">
      <c r="B12" s="14" t="s">
        <v>5421</v>
      </c>
    </row>
    <row r="13" spans="2:4" ht="22.5" customHeight="1">
      <c r="B13" s="15" t="s">
        <v>5422</v>
      </c>
    </row>
    <row r="14" spans="2:4" ht="67.5" customHeight="1">
      <c r="B14" s="15" t="s">
        <v>5423</v>
      </c>
    </row>
    <row r="15" spans="2:4" ht="22.5" customHeight="1">
      <c r="B15" s="15" t="s">
        <v>5424</v>
      </c>
    </row>
    <row r="16" spans="2:4" ht="11.25" customHeight="1">
      <c r="B16" s="14" t="s">
        <v>5425</v>
      </c>
      <c r="D16" s="19"/>
    </row>
    <row r="17" spans="1:2" ht="33.75" customHeight="1">
      <c r="B17" s="15" t="s">
        <v>5426</v>
      </c>
    </row>
    <row r="18" spans="1:2" ht="33.75" customHeight="1">
      <c r="B18" s="15" t="s">
        <v>5427</v>
      </c>
    </row>
    <row r="19" spans="1:2" ht="11.25" customHeight="1">
      <c r="B19" s="15" t="s">
        <v>5428</v>
      </c>
    </row>
    <row r="20" spans="1:2" ht="33.75" customHeight="1">
      <c r="B20" s="15" t="s">
        <v>5429</v>
      </c>
    </row>
    <row r="21" spans="1:2" ht="11.25" customHeight="1">
      <c r="B21" s="14" t="s">
        <v>5430</v>
      </c>
    </row>
    <row r="22" spans="1:2" ht="11.25" customHeight="1">
      <c r="B22" s="15" t="s">
        <v>5431</v>
      </c>
    </row>
    <row r="24" spans="1:2" ht="22.5" customHeight="1">
      <c r="B24" s="63" t="s">
        <v>5432</v>
      </c>
    </row>
    <row r="26" spans="1:2" ht="11.25" customHeight="1">
      <c r="B26" s="14" t="s">
        <v>5433</v>
      </c>
    </row>
    <row r="27" spans="1:2" ht="22.5" customHeight="1">
      <c r="B27" s="62" t="s">
        <v>322</v>
      </c>
    </row>
    <row r="28" spans="1:2" ht="56.25" customHeight="1">
      <c r="B28" s="62" t="s">
        <v>5434</v>
      </c>
    </row>
    <row r="29" spans="1:2" ht="11.25" customHeight="1">
      <c r="B29" s="110" t="s">
        <v>5435</v>
      </c>
    </row>
    <row r="30" spans="1:2" ht="22.5" customHeight="1">
      <c r="B30" s="62" t="s">
        <v>5436</v>
      </c>
    </row>
    <row r="32" spans="1:2" ht="11.25" customHeight="1">
      <c r="A32" s="88"/>
      <c r="B32" s="89" t="s">
        <v>5437</v>
      </c>
    </row>
    <row r="33" spans="1:2" ht="14.25" customHeight="1">
      <c r="A33" s="90">
        <v>1</v>
      </c>
      <c r="B33" s="91" t="s">
        <v>5438</v>
      </c>
    </row>
    <row r="34" spans="1:2" ht="14.25" customHeight="1">
      <c r="A34" s="90">
        <v>2</v>
      </c>
      <c r="B34" s="91" t="s">
        <v>5439</v>
      </c>
    </row>
    <row r="35" spans="1:2" ht="11.25" customHeight="1">
      <c r="B35" s="89" t="s">
        <v>5440</v>
      </c>
    </row>
    <row r="36" spans="1:2" ht="11.25" customHeight="1">
      <c r="B36" s="91" t="s">
        <v>5441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1895</vt:i4>
      </vt:variant>
    </vt:vector>
  </HeadingPairs>
  <TitlesOfParts>
    <vt:vector size="1981" baseType="lpstr">
      <vt:lpstr>ТЭ+Теплоноситель 1</vt:lpstr>
      <vt:lpstr>ТЭ+Теплоноситель 2</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ТЭ+Теплоноситель 3</vt:lpstr>
      <vt:lpstr>ТЭ+Теплоноситель 4</vt:lpstr>
      <vt:lpstr>ГВС 1</vt:lpstr>
      <vt:lpstr>ГВС 2</vt:lpstr>
      <vt:lpstr>ГВС 3</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B_FHD_diff_66</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B_FHD20_FLAG_FHD</vt:lpstr>
      <vt:lpstr>B_FHD20_NUMBER_COLUMN_MARKER</vt:lpstr>
      <vt:lpstr>B_FHD20_PART_COLUMN_MARKER</vt:lpstr>
      <vt:lpstr>B_KNE_diff_1</vt:lpstr>
      <vt:lpstr>B_KNE_diff_66</vt:lpstr>
      <vt:lpstr>'ГВС 2'!BLOCK_DIFFERENTIATION_NOT_TKO</vt:lpstr>
      <vt:lpstr>'ТЭ+Теплоноситель 2'!BLOCK_DIFFERENTIATION_NOT_TKO</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BLOCK_PRICE_IST_TE</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BLOCK_TERMS_HEAT_P1</vt:lpstr>
      <vt:lpstr>BLOCK_TERMS_NOT_TKO_P1</vt:lpstr>
      <vt:lpstr>BLOCK_TERMS_NOT_TKO_P2</vt:lpstr>
      <vt:lpstr>BLOCK_TERMS_TKO_TRANS</vt:lpstr>
      <vt:lpstr>'ГВС 1'!BLOCK_TERRITORY_INFO</vt:lpstr>
      <vt:lpstr>BLOCK_TERRITORY_INFO</vt:lpstr>
      <vt:lpstr>'ГВС 1'!checkCell_List01</vt:lpstr>
      <vt:lpstr>checkCell_List01</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'ГВС 2'!DIFFERENTIATION_AREA</vt:lpstr>
      <vt:lpstr>'ТЭ+Теплоноситель 2'!DIFFERENTIATION_AREA</vt:lpstr>
      <vt:lpstr>'ГВС 2'!DIFFERENTIATION_AREA_ID</vt:lpstr>
      <vt:lpstr>'ТЭ+Теплоноситель 2'!DIFFERENTIATION_AREA_ID</vt:lpstr>
      <vt:lpstr>'ГВС 2'!DIFFERENTIATION_CheckC</vt:lpstr>
      <vt:lpstr>'ТЭ+Теплоноситель 2'!DIFFERENTIATION_CheckC</vt:lpstr>
      <vt:lpstr>'ГВС 2'!DIFFERENTIATION_fieldMarker</vt:lpstr>
      <vt:lpstr>'ТЭ+Теплоноситель 2'!DIFFERENTIATION_fieldMarker</vt:lpstr>
      <vt:lpstr>DIFFERENTIATION_ID</vt:lpstr>
      <vt:lpstr>'ГВС 2'!DIFFERENTIATION_ID_DIFF</vt:lpstr>
      <vt:lpstr>'ТЭ+Теплоноситель 2'!DIFFERENTIATION_ID_DIFF</vt:lpstr>
      <vt:lpstr>'ГВС 2'!DIFFERENTIATION_SYSTEM</vt:lpstr>
      <vt:lpstr>'ТЭ+Теплоноситель 2'!DIFFERENTIATION_SYSTEM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'ГВС 2'!DIFFERENTIATION_UNMERGE_AREA</vt:lpstr>
      <vt:lpstr>'ТЭ+Теплоноситель 2'!DIFFERENTIATION_UNMERGE_AREA</vt:lpstr>
      <vt:lpstr>'ГВС 2'!DIFFERENTIATION_UNMERGE_SYSTEM</vt:lpstr>
      <vt:lpstr>'ТЭ+Теплоноситель 2'!DIFFERENTIATION_UNMERGE_SYSTEM</vt:lpstr>
      <vt:lpstr>'ГВС 2'!DIFFERENTIATION_UNMERGE_VD</vt:lpstr>
      <vt:lpstr>'ТЭ+Теплоноситель 2'!DIFFERENTIATION_UNMERGE_VD</vt:lpstr>
      <vt:lpstr>'ГВС 2'!DIFFERENTIATION_VD</vt:lpstr>
      <vt:lpstr>'ТЭ+Теплоноситель 2'!DIFFERENTIATION_VD</vt:lpstr>
      <vt:lpstr>'ГВС 2'!DIFFERENTIATION_VD_ID</vt:lpstr>
      <vt:lpstr>'ТЭ+Теплоноситель 2'!DIFFERENTIATION_VD_ID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'ТЭ+Теплоноситель 3'!et_hor_Q_LIMIT_1</vt:lpstr>
      <vt:lpstr>'ТЭ+Теплоноситель 3'!et_hor_Q_LIMIT_2</vt:lpstr>
      <vt:lpstr>'ТЭ+Теплоноситель 3'!et_hor_Q_LIMIT_3</vt:lpstr>
      <vt:lpstr>'ТЭ+Теплоноситель 3'!et_hor_Q_LIMIT_4</vt:lpstr>
      <vt:lpstr>'ГВС 3'!et_hor_Q_TP_1</vt:lpstr>
      <vt:lpstr>'ТЭ+Теплоноситель 4'!et_hor_Q_TP_1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'ГВС 3'!et_Q_TP_DIFFERENTIATION</vt:lpstr>
      <vt:lpstr>'ТЭ+Теплоноситель 4'!et_Q_TP_DIFFERENTIATION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'ТЭ+Теплоноситель 3'!et_ver_Q_LIMIT_DIFFERENTIATION</vt:lpstr>
      <vt:lpstr>et_ver_Q_PH_DIFFERENTIATION</vt:lpstr>
      <vt:lpstr>'ГВС 3'!et_ver_Q_TP_DIFFERENTIATION</vt:lpstr>
      <vt:lpstr>'ТЭ+Теплоноситель 4'!et_ver_Q_TP_DIFFERENTIATION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LINK_RANGE</vt:lpstr>
      <vt:lpstr>List_H</vt:lpstr>
      <vt:lpstr>List_M</vt:lpstr>
      <vt:lpstr>LIST_MR_MO_OKTMO</vt:lpstr>
      <vt:lpstr>LIST_MR_MO_OKTMO_FILTER</vt:lpstr>
      <vt:lpstr>ListForms</vt:lpstr>
      <vt:lpstr>logical</vt:lpstr>
      <vt:lpstr>MONTH</vt:lpstr>
      <vt:lpstr>MONTH_IP_LIST</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P_T_TERMS_LINK</vt:lpstr>
      <vt:lpstr>pCng_P_T_TERMS_1</vt:lpstr>
      <vt:lpstr>pCng_P_T_TERMS_2</vt:lpstr>
      <vt:lpstr>pCng_P_T_TERMS_3</vt:lpstr>
      <vt:lpstr>pCng_P_T_TERMS_4</vt:lpstr>
      <vt:lpstr>pDel_CHANGE_INFO</vt:lpstr>
      <vt:lpstr>'ГВС 2'!pDel_DIFFERENTIATION_AREA</vt:lpstr>
      <vt:lpstr>'ТЭ+Теплоноситель 2'!pDel_DIFFERENTIATION_AREA</vt:lpstr>
      <vt:lpstr>'ГВС 2'!pDel_DIFFERENTIATION_SYSTEM</vt:lpstr>
      <vt:lpstr>'ТЭ+Теплоноситель 2'!pDel_DIFFERENTIATION_SYSTEM</vt:lpstr>
      <vt:lpstr>'ГВС 2'!pDel_DIFFERENTIATION_VD</vt:lpstr>
      <vt:lpstr>'ТЭ+Теплоноситель 2'!pDel_DIFFERENTIATION_VD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'ГВС 1'!pDel_LT_AREA</vt:lpstr>
      <vt:lpstr>pDel_LT_AREA</vt:lpstr>
      <vt:lpstr>'ГВС 1'!pDel_LT_MO</vt:lpstr>
      <vt:lpstr>pDel_LT_MO</vt:lpstr>
      <vt:lpstr>pDel_ORG_INFO</vt:lpstr>
      <vt:lpstr>pDel_ORG_TERRITORY</vt:lpstr>
      <vt:lpstr>pDel_ORG_VD</vt:lpstr>
      <vt:lpstr>pDel_P_PROCEDURE_TC</vt:lpstr>
      <vt:lpstr>pDel_P_T_TERMS</vt:lpstr>
      <vt:lpstr>pDel_R_B_Purch</vt:lpstr>
      <vt:lpstr>PeriodIsEmpty</vt:lpstr>
      <vt:lpstr>PeriodIsEmptyList</vt:lpstr>
      <vt:lpstr>pHeader_B_FHD</vt:lpstr>
      <vt:lpstr>pHeader_B_FHD_TKO</vt:lpstr>
      <vt:lpstr>pHeader_B_FHD_TKO_TRANS</vt:lpstr>
      <vt:lpstr>pHeader_B_KNE</vt:lpstr>
      <vt:lpstr>'ТЭ+Теплоноситель 3'!pHeader_Q_LIMIT</vt:lpstr>
      <vt:lpstr>pHeader_Q_PH</vt:lpstr>
      <vt:lpstr>'ГВС 3'!pHeader_Q_TP</vt:lpstr>
      <vt:lpstr>'ТЭ+Теплоноситель 4'!pHeader_Q_TP</vt:lpstr>
      <vt:lpstr>pHeader_ver_B_FHD</vt:lpstr>
      <vt:lpstr>pHeader_ver_B_FHD_TKO</vt:lpstr>
      <vt:lpstr>pHeader_ver_B_FHD_TKO_TRANS</vt:lpstr>
      <vt:lpstr>pHeader_ver_B_KNE</vt:lpstr>
      <vt:lpstr>pHeader_ver_P_PROCEDURE_TC</vt:lpstr>
      <vt:lpstr>'ТЭ+Теплоноситель 3'!pHeader_ver_Q_LIMIT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pIns_ED</vt:lpstr>
      <vt:lpstr>pIns_IP_DETAILED</vt:lpstr>
      <vt:lpstr>pIns_IP_FIN_PLAN</vt:lpstr>
      <vt:lpstr>pIns_IP_MAIN</vt:lpstr>
      <vt:lpstr>pIns_IP_QRE</vt:lpstr>
      <vt:lpstr>pIns_List07</vt:lpstr>
      <vt:lpstr>'ГВС 1'!pIns_LT_AREA</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'ТЭ+Теплоноситель 3'!pIns_Q_LIMIT_1</vt:lpstr>
      <vt:lpstr>'ТЭ+Теплоноситель 3'!pIns_Q_LIMIT_2</vt:lpstr>
      <vt:lpstr>'ТЭ+Теплоноситель 3'!pIns_Q_LIMIT_3</vt:lpstr>
      <vt:lpstr>'ТЭ+Теплоноситель 3'!pIns_Q_LIMIT_4</vt:lpstr>
      <vt:lpstr>'ТЭ+Теплоноситель 3'!pIns_Q_LIMIT_DIFFERENTIATION</vt:lpstr>
      <vt:lpstr>pIns_Q_PH_DIFFERENTIATION</vt:lpstr>
      <vt:lpstr>'ГВС 3'!pIns_Q_TP_1</vt:lpstr>
      <vt:lpstr>'ТЭ+Теплоноситель 4'!pIns_Q_TP_1</vt:lpstr>
      <vt:lpstr>'ГВС 3'!pIns_Q_TP_DIFFERENTIATION</vt:lpstr>
      <vt:lpstr>'ТЭ+Теплоноситель 4'!pIns_Q_TP_DIFFERENTIATION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'ТЭ+Теплоноситель 3'!pNote_LIMIT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'ТЭ+Теплоноситель 3'!Q_LIMIT_CheckC</vt:lpstr>
      <vt:lpstr>'ТЭ+Теплоноситель 3'!Q_LIMIT_diff_1</vt:lpstr>
      <vt:lpstr>'ТЭ+Теплоноситель 3'!Q_Limit_diff_66</vt:lpstr>
      <vt:lpstr>'ТЭ+Теплоноситель 3'!Q_LIMIT_p3</vt:lpstr>
      <vt:lpstr>'ТЭ+Теплоноситель 3'!Q_LIMIT_p4</vt:lpstr>
      <vt:lpstr>Q_PH_diff_1</vt:lpstr>
      <vt:lpstr>Q_PH_diff_66</vt:lpstr>
      <vt:lpstr>'ГВС 3'!Q_TP_COUNT_REFUSAL</vt:lpstr>
      <vt:lpstr>'ТЭ+Теплоноситель 4'!Q_TP_COUNT_REFUSAL</vt:lpstr>
      <vt:lpstr>'ГВС 3'!Q_TP_diff_1</vt:lpstr>
      <vt:lpstr>'ТЭ+Теплоноситель 4'!Q_TP_diff_1</vt:lpstr>
      <vt:lpstr>'ТЭ+Теплоноситель 4'!Q_TP_diff_66</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'ГВС 1'!ter_1</vt:lpstr>
      <vt:lpstr>ter_1</vt:lpstr>
      <vt:lpstr>TER_ID</vt:lpstr>
      <vt:lpstr>TERMS_LINK</vt:lpstr>
      <vt:lpstr>TERMS_NAME_FORM</vt:lpstr>
      <vt:lpstr>TERMS_NUM_CONTRACT_COLUMN_MARKER</vt:lpstr>
      <vt:lpstr>TERMS_P_1</vt:lpstr>
      <vt:lpstr>TERMS_TKO_TRANS_DATA</vt:lpstr>
      <vt:lpstr>'ГВС 1'!TERRITORY_CheckC</vt:lpstr>
      <vt:lpstr>TERRITORY_CheckC</vt:lpstr>
      <vt:lpstr>TERRITORY_ID</vt:lpstr>
      <vt:lpstr>'ГВС 1'!TERRITORY_LIST_ID</vt:lpstr>
      <vt:lpstr>TERRITORY_LIST_ID</vt:lpstr>
      <vt:lpstr>'ГВС 1'!TERRITORY_MO_LIST</vt:lpstr>
      <vt:lpstr>TERRITORY_MO_LIST</vt:lpstr>
      <vt:lpstr>'ГВС 1'!TERRITORY_MR_LIST</vt:lpstr>
      <vt:lpstr>TERRITORY_MR_LIST</vt:lpstr>
      <vt:lpstr>'ГВС 1'!TERRITORY_NAME_COL</vt:lpstr>
      <vt:lpstr>TERRITORY_NAME_COL</vt:lpstr>
      <vt:lpstr>'ГВС 1'!TERRITORY_POINT_NUMBER_1</vt:lpstr>
      <vt:lpstr>TERRITORY_POINT_NUMBER_1</vt:lpstr>
      <vt:lpstr>TITLE_IP_DETAILED_METHOD_LIST</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'ГВС 2'!Y_N_DIFFERENTIATION_AREA</vt:lpstr>
      <vt:lpstr>'ТЭ+Теплоноситель 2'!Y_N_DIFFERENTIATION_AREA</vt:lpstr>
      <vt:lpstr>'ГВС 2'!Y_N_DIFFERENTIATION_SYSTEM</vt:lpstr>
      <vt:lpstr>'ТЭ+Теплоноситель 2'!Y_N_DIFFERENTIATION_SYSTEM</vt:lpstr>
      <vt:lpstr>YEAR_IP_LIST</vt:lpstr>
      <vt:lpstr>year_list</vt:lpstr>
      <vt:lpstr>year_list1</vt:lpstr>
      <vt:lpstr>'ГВС 1'!Область_печати</vt:lpstr>
      <vt:lpstr>'ГВС 2'!Область_печати</vt:lpstr>
      <vt:lpstr>'ГВС 3'!Область_печати</vt:lpstr>
      <vt:lpstr>'ТЭ+Теплоноситель 1'!Область_печати</vt:lpstr>
      <vt:lpstr>'ТЭ+Теплоноситель 2'!Область_печати</vt:lpstr>
      <vt:lpstr>'ТЭ+Теплоноситель 3'!Область_печати</vt:lpstr>
      <vt:lpstr>'ТЭ+Теплоноситель 4'!Область_печати</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smirnykh.k.s</cp:lastModifiedBy>
  <cp:lastPrinted>2023-10-10T11:22:16Z</cp:lastPrinted>
  <dcterms:created xsi:type="dcterms:W3CDTF">2004-05-21T07:18:45Z</dcterms:created>
  <dcterms:modified xsi:type="dcterms:W3CDTF">2023-10-10T11:22:20Z</dcterms:modified>
</cp:coreProperties>
</file>